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pw_working\projectwise\mchell\d0708784\"/>
    </mc:Choice>
  </mc:AlternateContent>
  <bookViews>
    <workbookView xWindow="0" yWindow="0" windowWidth="12288" windowHeight="5556" tabRatio="761"/>
  </bookViews>
  <sheets>
    <sheet name="README" sheetId="148" r:id="rId1"/>
    <sheet name="CIP Summary" sheetId="131" r:id="rId2"/>
    <sheet name="CIP Full" sheetId="123" r:id="rId3"/>
    <sheet name="P1" sheetId="133" r:id="rId4"/>
    <sheet name="P2" sheetId="137" r:id="rId5"/>
    <sheet name="P3" sheetId="138" r:id="rId6"/>
    <sheet name="P4" sheetId="135" r:id="rId7"/>
    <sheet name="P5" sheetId="140" r:id="rId8"/>
    <sheet name="Stakeholder Categories" sheetId="149" r:id="rId9"/>
    <sheet name="Financial Summary (2017)" sheetId="150" r:id="rId10"/>
    <sheet name="Financial Summary (Future)" sheetId="134" r:id="rId11"/>
    <sheet name="Near Term CIP (by project)" sheetId="141" r:id="rId12"/>
    <sheet name="Total CIP (by project)" sheetId="129" r:id="rId13"/>
    <sheet name="Near Term CIP (by partner)" sheetId="142" r:id="rId14"/>
    <sheet name="Total CIP (by partner)" sheetId="145" r:id="rId15"/>
    <sheet name="Near Term CIP (CoW)" sheetId="143" r:id="rId16"/>
    <sheet name="Total CIP (CoW)" sheetId="146" r:id="rId17"/>
    <sheet name="Near Term CIP (CoS)" sheetId="144" r:id="rId18"/>
    <sheet name="Total CIP (CoS)" sheetId="147" r:id="rId19"/>
    <sheet name="List Reference" sheetId="139" state="hidden" r:id="rId20"/>
  </sheets>
  <definedNames>
    <definedName name="_xlnm._FilterDatabase" localSheetId="2" hidden="1">'CIP Full'!$A$7:$T$162</definedName>
    <definedName name="_xlnm._FilterDatabase" localSheetId="1" hidden="1">'CIP Summary'!$A$7:$R$7</definedName>
    <definedName name="_xlnm._FilterDatabase" localSheetId="7" hidden="1">'P5'!$D$11:$J$11</definedName>
    <definedName name="Admin">README!$C$61</definedName>
    <definedName name="CD_20MGD">'CIP Summary'!$N$8</definedName>
    <definedName name="CD_30MGD">'CIP Summary'!$N$11</definedName>
    <definedName name="CD_Safety">'CIP Summary'!$N$9</definedName>
    <definedName name="CD_Seismic">'CIP Summary'!$N$10</definedName>
    <definedName name="CIP_Full">'CIP Full'!$A$8:$T$162</definedName>
    <definedName name="CIP_Summary">'CIP Summary'!$B$8:$Q$11</definedName>
    <definedName name="Complete_20MGD">'CIP Summary'!$G$8</definedName>
    <definedName name="Complete_30MGD">'CIP Summary'!$G$11</definedName>
    <definedName name="Complete_Safety">'CIP Summary'!$G$9</definedName>
    <definedName name="Complete_Seismic">'CIP Summary'!$G$10</definedName>
    <definedName name="Constr_20MGD">'CIP Summary'!$Q$8</definedName>
    <definedName name="Constr_30MGD">'CIP Summary'!$Q$11</definedName>
    <definedName name="Constr_Safety">'CIP Summary'!$Q$9</definedName>
    <definedName name="Constr_Seismic">'CIP Summary'!$Q$10</definedName>
    <definedName name="COS_20MGD">README!$E$67</definedName>
    <definedName name="COS_30MGD">README!$E$70</definedName>
    <definedName name="COS_RR">README!$E$71</definedName>
    <definedName name="COS_Safety">README!$E$68</definedName>
    <definedName name="COS_Seismic">README!$E$69</definedName>
    <definedName name="COW_20MGD">README!$D$67</definedName>
    <definedName name="COW_30MGD">README!$D$70</definedName>
    <definedName name="COW_RR">README!$D$71</definedName>
    <definedName name="COW_Safety">README!$D$68</definedName>
    <definedName name="COW_Seismic">README!$D$69</definedName>
    <definedName name="DD_20MGD">'CIP Summary'!$M$8</definedName>
    <definedName name="DD_30MGD">'CIP Summary'!$M$11</definedName>
    <definedName name="DD_Safety">'CIP Summary'!$M$9</definedName>
    <definedName name="DD_Seismic">'CIP Summary'!$M$10</definedName>
    <definedName name="Design">README!$C$60</definedName>
    <definedName name="Design_20MGD">'CIP Summary'!$P$8</definedName>
    <definedName name="Design_30MGD">'CIP Summary'!$P$11</definedName>
    <definedName name="Design_Safety">'CIP Summary'!$P$9</definedName>
    <definedName name="Design_Seismic">'CIP Summary'!$P$10</definedName>
    <definedName name="Duration_20MGD">'CIP Summary'!$J$8</definedName>
    <definedName name="Duration_30MGD">'CIP Summary'!$J$11</definedName>
    <definedName name="Duration_Safety">'CIP Summary'!$J$9</definedName>
    <definedName name="Duration_Seismic">'CIP Summary'!$J$10</definedName>
    <definedName name="ENR">README!$C$59</definedName>
    <definedName name="ENR_Revised">README!$C$63</definedName>
    <definedName name="Escalation_Rate">README!$C$57</definedName>
    <definedName name="estimate_date">README!$C$58</definedName>
    <definedName name="F_20MGD">'CIP Summary'!$O$8</definedName>
    <definedName name="F_30MGD">'CIP Summary'!$O$11</definedName>
    <definedName name="F_Safety">'CIP Summary'!$O$9</definedName>
    <definedName name="F_Seismic">'CIP Summary'!$O$10</definedName>
    <definedName name="Full_Admin">'CIP Full'!$I$8:$I$161</definedName>
    <definedName name="Full_Constr">'CIP Full'!$E$8:$E$161</definedName>
    <definedName name="Full_Design">'CIP Full'!$H$8:$H$161</definedName>
    <definedName name="Full_FutAd">'CIP Full'!$O$8:$O$161</definedName>
    <definedName name="Full_FutDes">'CIP Full'!$N$8:$N$161</definedName>
    <definedName name="Full_Future">'CIP Full'!$M$8:$M$161</definedName>
    <definedName name="Full_Project">'CIP Full'!$B$8:$B$161</definedName>
    <definedName name="Full_Total">'CIP Full'!$J$8:$J$161</definedName>
    <definedName name="Full_Year">'CIP Full'!$K$8:$K$161</definedName>
    <definedName name="_xlnm.Print_Area" localSheetId="2">'CIP Full'!$A$5:$T$167</definedName>
    <definedName name="_xlnm.Print_Area" localSheetId="1">'CIP Summary'!$A$4:$R$49</definedName>
    <definedName name="_xlnm.Print_Area" localSheetId="9">'Financial Summary (2017)'!$A$1:$X$44</definedName>
    <definedName name="_xlnm.Print_Area" localSheetId="10">'Financial Summary (Future)'!$A$1:$X$44</definedName>
    <definedName name="_xlnm.Print_Area" localSheetId="3">'P1'!$A$5:$I$77</definedName>
    <definedName name="_xlnm.Print_Area" localSheetId="4">'P2'!$A$5:$I$76</definedName>
    <definedName name="_xlnm.Print_Area" localSheetId="5">'P3'!$A$5:$I$54</definedName>
    <definedName name="_xlnm.Print_Area" localSheetId="6">'P4'!$A$5:$I$64</definedName>
    <definedName name="_xlnm.Print_Area" localSheetId="7">'P5'!$A$5:$J$90</definedName>
    <definedName name="_xlnm.Print_Area" localSheetId="0">README!$A$1:$I$105</definedName>
    <definedName name="_xlnm.Print_Titles" localSheetId="2">'CIP Full'!$5:$7</definedName>
    <definedName name="_xlnm.Print_Titles" localSheetId="9">'Financial Summary (2017)'!$A:$C,'Financial Summary (2017)'!$1:$2</definedName>
    <definedName name="_xlnm.Print_Titles" localSheetId="10">'Financial Summary (Future)'!$A:$C,'Financial Summary (Future)'!$1:$2</definedName>
    <definedName name="_xlnm.Print_Titles" localSheetId="3">'P1'!$54:$54</definedName>
    <definedName name="_xlnm.Print_Titles" localSheetId="4">'P2'!$42:$42</definedName>
    <definedName name="_xlnm.Print_Titles" localSheetId="5">'P3'!$43:$43</definedName>
    <definedName name="_xlnm.Print_Titles" localSheetId="6">'P4'!$46:$46</definedName>
    <definedName name="_xlnm.Print_Titles" localSheetId="7">'P5'!$A:$A,'P5'!$11:$11</definedName>
    <definedName name="Revised_Estimate_Date">README!$C$62</definedName>
    <definedName name="RR_Construction">'CIP Summary'!$C$22</definedName>
    <definedName name="RR_ENR">'CIP Summary'!$C$26:$D$43</definedName>
    <definedName name="RR_Float">'CIP Summary'!$C$23</definedName>
    <definedName name="RRCostProjection">'CIP Summary'!$C$21</definedName>
  </definedNames>
  <calcPr calcId="152511"/>
</workbook>
</file>

<file path=xl/calcChain.xml><?xml version="1.0" encoding="utf-8"?>
<calcChain xmlns="http://schemas.openxmlformats.org/spreadsheetml/2006/main">
  <c r="I45" i="131" l="1"/>
  <c r="J45" i="131"/>
  <c r="H45" i="131"/>
  <c r="K45" i="131"/>
  <c r="D26" i="150" l="1"/>
  <c r="D21" i="134"/>
  <c r="E21" i="134"/>
  <c r="F21" i="134"/>
  <c r="G21" i="134"/>
  <c r="H21" i="134"/>
  <c r="I21" i="134"/>
  <c r="J21" i="134"/>
  <c r="K21" i="134"/>
  <c r="L21" i="134"/>
  <c r="M21" i="134"/>
  <c r="N21" i="134"/>
  <c r="O21" i="134"/>
  <c r="P21" i="134"/>
  <c r="Q21" i="134"/>
  <c r="R21" i="134"/>
  <c r="S21" i="134"/>
  <c r="T21" i="134"/>
  <c r="U21" i="134"/>
  <c r="V21" i="134"/>
  <c r="W21" i="134"/>
  <c r="E16" i="134"/>
  <c r="F16" i="134"/>
  <c r="G16" i="134"/>
  <c r="H16" i="134"/>
  <c r="I16" i="134"/>
  <c r="J16" i="134"/>
  <c r="K16" i="134"/>
  <c r="L16" i="134"/>
  <c r="M16" i="134"/>
  <c r="N16" i="134"/>
  <c r="O16" i="134"/>
  <c r="P16" i="134"/>
  <c r="Q16" i="134"/>
  <c r="R16" i="134"/>
  <c r="S16" i="134"/>
  <c r="T16" i="134"/>
  <c r="U16" i="134"/>
  <c r="V16" i="134"/>
  <c r="W16" i="134"/>
  <c r="D16" i="134"/>
  <c r="D11" i="134"/>
  <c r="E11" i="134"/>
  <c r="F11" i="134"/>
  <c r="G11" i="134"/>
  <c r="H11" i="134"/>
  <c r="I11" i="134"/>
  <c r="J11" i="134"/>
  <c r="K11" i="134"/>
  <c r="L11" i="134"/>
  <c r="M11" i="134"/>
  <c r="N11" i="134"/>
  <c r="O11" i="134"/>
  <c r="P11" i="134"/>
  <c r="Q11" i="134"/>
  <c r="R11" i="134"/>
  <c r="S11" i="134"/>
  <c r="T11" i="134"/>
  <c r="U11" i="134"/>
  <c r="V11" i="134"/>
  <c r="W11" i="134"/>
  <c r="E6" i="134"/>
  <c r="F6" i="134"/>
  <c r="G6" i="134"/>
  <c r="H6" i="134"/>
  <c r="I6" i="134"/>
  <c r="J6" i="134"/>
  <c r="K6" i="134"/>
  <c r="L6" i="134"/>
  <c r="M6" i="134"/>
  <c r="N6" i="134"/>
  <c r="O6" i="134"/>
  <c r="P6" i="134"/>
  <c r="Q6" i="134"/>
  <c r="R6" i="134"/>
  <c r="S6" i="134"/>
  <c r="T6" i="134"/>
  <c r="U6" i="134"/>
  <c r="V6" i="134"/>
  <c r="W6" i="134"/>
  <c r="D6" i="134"/>
  <c r="D6" i="150"/>
  <c r="E6" i="150"/>
  <c r="F6" i="150"/>
  <c r="G6" i="150"/>
  <c r="H6" i="150"/>
  <c r="I6" i="150"/>
  <c r="J6" i="150"/>
  <c r="K6" i="150"/>
  <c r="L6" i="150"/>
  <c r="M6" i="150"/>
  <c r="N6" i="150"/>
  <c r="O6" i="150"/>
  <c r="P6" i="150"/>
  <c r="Q6" i="150"/>
  <c r="R6" i="150"/>
  <c r="S6" i="150"/>
  <c r="T6" i="150"/>
  <c r="U6" i="150"/>
  <c r="V6" i="150"/>
  <c r="W6" i="150"/>
  <c r="E11" i="150"/>
  <c r="F11" i="150"/>
  <c r="G11" i="150"/>
  <c r="H11" i="150"/>
  <c r="I11" i="150"/>
  <c r="J11" i="150"/>
  <c r="K11" i="150"/>
  <c r="L11" i="150"/>
  <c r="M11" i="150"/>
  <c r="N11" i="150"/>
  <c r="O11" i="150"/>
  <c r="P11" i="150"/>
  <c r="Q11" i="150"/>
  <c r="R11" i="150"/>
  <c r="S11" i="150"/>
  <c r="T11" i="150"/>
  <c r="U11" i="150"/>
  <c r="V11" i="150"/>
  <c r="W11" i="150"/>
  <c r="D11" i="150"/>
  <c r="D16" i="150"/>
  <c r="E16" i="150"/>
  <c r="F16" i="150"/>
  <c r="G16" i="150"/>
  <c r="H16" i="150"/>
  <c r="I16" i="150"/>
  <c r="J16" i="150"/>
  <c r="K16" i="150"/>
  <c r="L16" i="150"/>
  <c r="M16" i="150"/>
  <c r="N16" i="150"/>
  <c r="O16" i="150"/>
  <c r="P16" i="150"/>
  <c r="Q16" i="150"/>
  <c r="R16" i="150"/>
  <c r="S16" i="150"/>
  <c r="T16" i="150"/>
  <c r="U16" i="150"/>
  <c r="V16" i="150"/>
  <c r="W16" i="150"/>
  <c r="H53" i="140" l="1"/>
  <c r="J11" i="131" l="1"/>
  <c r="H56" i="140"/>
  <c r="H17" i="140"/>
  <c r="H16" i="140"/>
  <c r="H14" i="140"/>
  <c r="B15" i="140"/>
  <c r="H15" i="140"/>
  <c r="H13" i="140"/>
  <c r="H18" i="140"/>
  <c r="F15" i="140"/>
  <c r="E15" i="140"/>
  <c r="D15" i="140"/>
  <c r="C15" i="140"/>
  <c r="B73" i="133" l="1"/>
  <c r="C73" i="133"/>
  <c r="D73" i="133"/>
  <c r="E73" i="133"/>
  <c r="F73" i="133"/>
  <c r="B58" i="133"/>
  <c r="C58" i="133"/>
  <c r="D58" i="133"/>
  <c r="E58" i="133"/>
  <c r="F58" i="133"/>
  <c r="E18" i="123" l="1"/>
  <c r="P9" i="123" l="1"/>
  <c r="Q9" i="123"/>
  <c r="R9" i="123"/>
  <c r="P10" i="123"/>
  <c r="Q10" i="123"/>
  <c r="R10" i="123"/>
  <c r="P11" i="123"/>
  <c r="Q11" i="123"/>
  <c r="R11" i="123"/>
  <c r="P12" i="123"/>
  <c r="Q12" i="123"/>
  <c r="R12" i="123"/>
  <c r="P13" i="123"/>
  <c r="Q13" i="123"/>
  <c r="R13" i="123"/>
  <c r="P14" i="123"/>
  <c r="Q14" i="123"/>
  <c r="R14" i="123"/>
  <c r="P15" i="123"/>
  <c r="Q15" i="123"/>
  <c r="R15" i="123"/>
  <c r="P16" i="123"/>
  <c r="Q16" i="123"/>
  <c r="R16" i="123"/>
  <c r="P17" i="123"/>
  <c r="Q17" i="123"/>
  <c r="R17" i="123"/>
  <c r="P18" i="123"/>
  <c r="Q18" i="123"/>
  <c r="R18" i="123"/>
  <c r="P19" i="123"/>
  <c r="Q19" i="123"/>
  <c r="R19" i="123"/>
  <c r="P20" i="123"/>
  <c r="Q20" i="123"/>
  <c r="R20" i="123"/>
  <c r="P21" i="123"/>
  <c r="Q21" i="123"/>
  <c r="R21" i="123"/>
  <c r="P22" i="123"/>
  <c r="Q22" i="123"/>
  <c r="R22" i="123"/>
  <c r="P23" i="123"/>
  <c r="Q23" i="123"/>
  <c r="R23" i="123"/>
  <c r="P24" i="123"/>
  <c r="Q24" i="123"/>
  <c r="R24" i="123"/>
  <c r="P25" i="123"/>
  <c r="Q25" i="123"/>
  <c r="R25" i="123"/>
  <c r="P26" i="123"/>
  <c r="Q26" i="123"/>
  <c r="R26" i="123"/>
  <c r="P27" i="123"/>
  <c r="Q27" i="123"/>
  <c r="R27" i="123"/>
  <c r="P28" i="123"/>
  <c r="Q28" i="123"/>
  <c r="R28" i="123"/>
  <c r="P29" i="123"/>
  <c r="Q29" i="123"/>
  <c r="R29" i="123"/>
  <c r="P30" i="123"/>
  <c r="Q30" i="123"/>
  <c r="R30" i="123"/>
  <c r="P31" i="123"/>
  <c r="Q31" i="123"/>
  <c r="R31" i="123"/>
  <c r="P32" i="123"/>
  <c r="Q32" i="123"/>
  <c r="R32" i="123"/>
  <c r="P33" i="123"/>
  <c r="Q33" i="123"/>
  <c r="R33" i="123"/>
  <c r="P34" i="123"/>
  <c r="Q34" i="123"/>
  <c r="R34" i="123"/>
  <c r="P35" i="123"/>
  <c r="Q35" i="123"/>
  <c r="R35" i="123"/>
  <c r="P36" i="123"/>
  <c r="Q36" i="123"/>
  <c r="R36" i="123"/>
  <c r="P37" i="123"/>
  <c r="Q37" i="123"/>
  <c r="R37" i="123"/>
  <c r="P38" i="123"/>
  <c r="Q38" i="123"/>
  <c r="R38" i="123"/>
  <c r="P39" i="123"/>
  <c r="Q39" i="123"/>
  <c r="R39" i="123"/>
  <c r="P40" i="123"/>
  <c r="Q40" i="123"/>
  <c r="R40" i="123"/>
  <c r="P41" i="123"/>
  <c r="Q41" i="123"/>
  <c r="R41" i="123"/>
  <c r="P42" i="123"/>
  <c r="Q42" i="123"/>
  <c r="R42" i="123"/>
  <c r="P43" i="123"/>
  <c r="Q43" i="123"/>
  <c r="R43" i="123"/>
  <c r="P44" i="123"/>
  <c r="Q44" i="123"/>
  <c r="R44" i="123"/>
  <c r="P45" i="123"/>
  <c r="Q45" i="123"/>
  <c r="R45" i="123"/>
  <c r="P46" i="123"/>
  <c r="Q46" i="123"/>
  <c r="R46" i="123"/>
  <c r="P47" i="123"/>
  <c r="Q47" i="123"/>
  <c r="R47" i="123"/>
  <c r="P48" i="123"/>
  <c r="Q48" i="123"/>
  <c r="R48" i="123"/>
  <c r="P49" i="123"/>
  <c r="Q49" i="123"/>
  <c r="R49" i="123"/>
  <c r="P50" i="123"/>
  <c r="Q50" i="123"/>
  <c r="R50" i="123"/>
  <c r="P51" i="123"/>
  <c r="Q51" i="123"/>
  <c r="R51" i="123"/>
  <c r="P52" i="123"/>
  <c r="Q52" i="123"/>
  <c r="R52" i="123"/>
  <c r="P53" i="123"/>
  <c r="Q53" i="123"/>
  <c r="R53" i="123"/>
  <c r="P54" i="123"/>
  <c r="Q54" i="123"/>
  <c r="R54" i="123"/>
  <c r="P55" i="123"/>
  <c r="Q55" i="123"/>
  <c r="R55" i="123"/>
  <c r="P56" i="123"/>
  <c r="Q56" i="123"/>
  <c r="R56" i="123"/>
  <c r="P57" i="123"/>
  <c r="Q57" i="123"/>
  <c r="R57" i="123"/>
  <c r="P58" i="123"/>
  <c r="Q58" i="123"/>
  <c r="R58" i="123"/>
  <c r="P59" i="123"/>
  <c r="Q59" i="123"/>
  <c r="R59" i="123"/>
  <c r="P60" i="123"/>
  <c r="Q60" i="123"/>
  <c r="R60" i="123"/>
  <c r="P61" i="123"/>
  <c r="Q61" i="123"/>
  <c r="R61" i="123"/>
  <c r="P62" i="123"/>
  <c r="Q62" i="123"/>
  <c r="R62" i="123"/>
  <c r="P63" i="123"/>
  <c r="Q63" i="123"/>
  <c r="R63" i="123"/>
  <c r="P64" i="123"/>
  <c r="Q64" i="123"/>
  <c r="R64" i="123"/>
  <c r="P65" i="123"/>
  <c r="Q65" i="123"/>
  <c r="R65" i="123"/>
  <c r="P66" i="123"/>
  <c r="Q66" i="123"/>
  <c r="R66" i="123"/>
  <c r="P67" i="123"/>
  <c r="Q67" i="123"/>
  <c r="R67" i="123"/>
  <c r="P68" i="123"/>
  <c r="Q68" i="123"/>
  <c r="R68" i="123"/>
  <c r="P69" i="123"/>
  <c r="Q69" i="123"/>
  <c r="R69" i="123"/>
  <c r="P70" i="123"/>
  <c r="Q70" i="123"/>
  <c r="R70" i="123"/>
  <c r="P71" i="123"/>
  <c r="Q71" i="123"/>
  <c r="R71" i="123"/>
  <c r="P72" i="123"/>
  <c r="Q72" i="123"/>
  <c r="R72" i="123"/>
  <c r="P73" i="123"/>
  <c r="Q73" i="123"/>
  <c r="R73" i="123"/>
  <c r="P74" i="123"/>
  <c r="Q74" i="123"/>
  <c r="R74" i="123"/>
  <c r="P75" i="123"/>
  <c r="Q75" i="123"/>
  <c r="R75" i="123"/>
  <c r="P76" i="123"/>
  <c r="Q76" i="123"/>
  <c r="R76" i="123"/>
  <c r="P77" i="123"/>
  <c r="Q77" i="123"/>
  <c r="R77" i="123"/>
  <c r="P78" i="123"/>
  <c r="Q78" i="123"/>
  <c r="R78" i="123"/>
  <c r="P79" i="123"/>
  <c r="Q79" i="123"/>
  <c r="R79" i="123"/>
  <c r="P80" i="123"/>
  <c r="Q80" i="123"/>
  <c r="R80" i="123"/>
  <c r="P81" i="123"/>
  <c r="Q81" i="123"/>
  <c r="R81" i="123"/>
  <c r="P82" i="123"/>
  <c r="Q82" i="123"/>
  <c r="R82" i="123"/>
  <c r="P83" i="123"/>
  <c r="Q83" i="123"/>
  <c r="R83" i="123"/>
  <c r="P84" i="123"/>
  <c r="Q84" i="123"/>
  <c r="R84" i="123"/>
  <c r="P85" i="123"/>
  <c r="Q85" i="123"/>
  <c r="R85" i="123"/>
  <c r="P86" i="123"/>
  <c r="Q86" i="123"/>
  <c r="R86" i="123"/>
  <c r="P87" i="123"/>
  <c r="Q87" i="123"/>
  <c r="R87" i="123"/>
  <c r="P88" i="123"/>
  <c r="Q88" i="123"/>
  <c r="R88" i="123"/>
  <c r="P89" i="123"/>
  <c r="Q89" i="123"/>
  <c r="R89" i="123"/>
  <c r="P90" i="123"/>
  <c r="Q90" i="123"/>
  <c r="R90" i="123"/>
  <c r="P91" i="123"/>
  <c r="Q91" i="123"/>
  <c r="R91" i="123"/>
  <c r="P92" i="123"/>
  <c r="Q92" i="123"/>
  <c r="R92" i="123"/>
  <c r="P93" i="123"/>
  <c r="Q93" i="123"/>
  <c r="R93" i="123"/>
  <c r="P94" i="123"/>
  <c r="Q94" i="123"/>
  <c r="R94" i="123"/>
  <c r="P95" i="123"/>
  <c r="Q95" i="123"/>
  <c r="R95" i="123"/>
  <c r="P96" i="123"/>
  <c r="Q96" i="123"/>
  <c r="R96" i="123"/>
  <c r="P97" i="123"/>
  <c r="Q97" i="123"/>
  <c r="R97" i="123"/>
  <c r="P98" i="123"/>
  <c r="Q98" i="123"/>
  <c r="R98" i="123"/>
  <c r="P99" i="123"/>
  <c r="Q99" i="123"/>
  <c r="R99" i="123"/>
  <c r="P100" i="123"/>
  <c r="Q100" i="123"/>
  <c r="R100" i="123"/>
  <c r="P101" i="123"/>
  <c r="Q101" i="123"/>
  <c r="R101" i="123"/>
  <c r="P102" i="123"/>
  <c r="Q102" i="123"/>
  <c r="R102" i="123"/>
  <c r="P103" i="123"/>
  <c r="Q103" i="123"/>
  <c r="R103" i="123"/>
  <c r="P104" i="123"/>
  <c r="Q104" i="123"/>
  <c r="R104" i="123"/>
  <c r="P105" i="123"/>
  <c r="Q105" i="123"/>
  <c r="R105" i="123"/>
  <c r="P106" i="123"/>
  <c r="Q106" i="123"/>
  <c r="R106" i="123"/>
  <c r="P107" i="123"/>
  <c r="Q107" i="123"/>
  <c r="R107" i="123"/>
  <c r="P108" i="123"/>
  <c r="Q108" i="123"/>
  <c r="R108" i="123"/>
  <c r="P109" i="123"/>
  <c r="Q109" i="123"/>
  <c r="R109" i="123"/>
  <c r="P110" i="123"/>
  <c r="Q110" i="123"/>
  <c r="R110" i="123"/>
  <c r="P111" i="123"/>
  <c r="Q111" i="123"/>
  <c r="R111" i="123"/>
  <c r="P112" i="123"/>
  <c r="Q112" i="123"/>
  <c r="R112" i="123"/>
  <c r="P113" i="123"/>
  <c r="Q113" i="123"/>
  <c r="R113" i="123"/>
  <c r="P114" i="123"/>
  <c r="Q114" i="123"/>
  <c r="R114" i="123"/>
  <c r="P115" i="123"/>
  <c r="Q115" i="123"/>
  <c r="R115" i="123"/>
  <c r="P116" i="123"/>
  <c r="Q116" i="123"/>
  <c r="R116" i="123"/>
  <c r="P117" i="123"/>
  <c r="Q117" i="123"/>
  <c r="R117" i="123"/>
  <c r="P118" i="123"/>
  <c r="Q118" i="123"/>
  <c r="R118" i="123"/>
  <c r="P119" i="123"/>
  <c r="Q119" i="123"/>
  <c r="R119" i="123"/>
  <c r="P120" i="123"/>
  <c r="Q120" i="123"/>
  <c r="R120" i="123"/>
  <c r="P121" i="123"/>
  <c r="Q121" i="123"/>
  <c r="R121" i="123"/>
  <c r="P122" i="123"/>
  <c r="Q122" i="123"/>
  <c r="R122" i="123"/>
  <c r="P123" i="123"/>
  <c r="Q123" i="123"/>
  <c r="R123" i="123"/>
  <c r="P124" i="123"/>
  <c r="Q124" i="123"/>
  <c r="R124" i="123"/>
  <c r="P125" i="123"/>
  <c r="Q125" i="123"/>
  <c r="R125" i="123"/>
  <c r="P126" i="123"/>
  <c r="Q126" i="123"/>
  <c r="R126" i="123"/>
  <c r="P127" i="123"/>
  <c r="Q127" i="123"/>
  <c r="R127" i="123"/>
  <c r="P128" i="123"/>
  <c r="Q128" i="123"/>
  <c r="R128" i="123"/>
  <c r="P129" i="123"/>
  <c r="Q129" i="123"/>
  <c r="R129" i="123"/>
  <c r="P130" i="123"/>
  <c r="Q130" i="123"/>
  <c r="R130" i="123"/>
  <c r="P131" i="123"/>
  <c r="Q131" i="123"/>
  <c r="R131" i="123"/>
  <c r="P132" i="123"/>
  <c r="Q132" i="123"/>
  <c r="R132" i="123"/>
  <c r="P133" i="123"/>
  <c r="Q133" i="123"/>
  <c r="R133" i="123"/>
  <c r="P134" i="123"/>
  <c r="Q134" i="123"/>
  <c r="R134" i="123"/>
  <c r="P135" i="123"/>
  <c r="Q135" i="123"/>
  <c r="R135" i="123"/>
  <c r="P136" i="123"/>
  <c r="Q136" i="123"/>
  <c r="R136" i="123"/>
  <c r="P137" i="123"/>
  <c r="Q137" i="123"/>
  <c r="R137" i="123"/>
  <c r="P138" i="123"/>
  <c r="Q138" i="123"/>
  <c r="R138" i="123"/>
  <c r="P139" i="123"/>
  <c r="Q139" i="123"/>
  <c r="R139" i="123"/>
  <c r="P140" i="123"/>
  <c r="Q140" i="123"/>
  <c r="R140" i="123"/>
  <c r="P141" i="123"/>
  <c r="Q141" i="123"/>
  <c r="R141" i="123"/>
  <c r="P142" i="123"/>
  <c r="Q142" i="123"/>
  <c r="R142" i="123"/>
  <c r="P143" i="123"/>
  <c r="Q143" i="123"/>
  <c r="R143" i="123"/>
  <c r="P144" i="123"/>
  <c r="Q144" i="123"/>
  <c r="R144" i="123"/>
  <c r="P145" i="123"/>
  <c r="Q145" i="123"/>
  <c r="R145" i="123"/>
  <c r="P146" i="123"/>
  <c r="Q146" i="123"/>
  <c r="R146" i="123"/>
  <c r="P147" i="123"/>
  <c r="Q147" i="123"/>
  <c r="R147" i="123"/>
  <c r="P148" i="123"/>
  <c r="Q148" i="123"/>
  <c r="R148" i="123"/>
  <c r="P149" i="123"/>
  <c r="Q149" i="123"/>
  <c r="R149" i="123"/>
  <c r="P150" i="123"/>
  <c r="Q150" i="123"/>
  <c r="R150" i="123"/>
  <c r="P151" i="123"/>
  <c r="Q151" i="123"/>
  <c r="R151" i="123"/>
  <c r="P152" i="123"/>
  <c r="Q152" i="123"/>
  <c r="R152" i="123"/>
  <c r="P153" i="123"/>
  <c r="Q153" i="123"/>
  <c r="R153" i="123"/>
  <c r="P154" i="123"/>
  <c r="Q154" i="123"/>
  <c r="R154" i="123"/>
  <c r="P155" i="123"/>
  <c r="Q155" i="123"/>
  <c r="R155" i="123"/>
  <c r="P156" i="123"/>
  <c r="Q156" i="123"/>
  <c r="R156" i="123"/>
  <c r="P157" i="123"/>
  <c r="Q157" i="123"/>
  <c r="R157" i="123"/>
  <c r="P158" i="123"/>
  <c r="Q158" i="123"/>
  <c r="R158" i="123"/>
  <c r="P159" i="123"/>
  <c r="Q159" i="123"/>
  <c r="R159" i="123"/>
  <c r="P160" i="123"/>
  <c r="Q160" i="123"/>
  <c r="R160" i="123"/>
  <c r="P161" i="123"/>
  <c r="Q161" i="123"/>
  <c r="R161" i="123"/>
  <c r="P162" i="123"/>
  <c r="Q162" i="123"/>
  <c r="R162" i="123"/>
  <c r="R8" i="123"/>
  <c r="Q8" i="123"/>
  <c r="P8" i="123"/>
  <c r="B57" i="133"/>
  <c r="C57" i="133"/>
  <c r="D57" i="133"/>
  <c r="E57" i="133"/>
  <c r="F57" i="133"/>
  <c r="E73" i="123"/>
  <c r="D4" i="149" l="1"/>
  <c r="B74" i="133" l="1"/>
  <c r="C74" i="133"/>
  <c r="D74" i="133"/>
  <c r="E74" i="133"/>
  <c r="F74" i="133"/>
  <c r="B68" i="133"/>
  <c r="C68" i="133"/>
  <c r="D68" i="133"/>
  <c r="E68" i="133"/>
  <c r="F68" i="133"/>
  <c r="H162" i="123"/>
  <c r="I162" i="123"/>
  <c r="J162" i="123"/>
  <c r="K162" i="123"/>
  <c r="L162" i="123"/>
  <c r="G162" i="123"/>
  <c r="T162" i="123" l="1"/>
  <c r="M162" i="123"/>
  <c r="O162" i="123" s="1"/>
  <c r="N162" i="123" l="1"/>
  <c r="L9" i="123" l="1"/>
  <c r="L10" i="123"/>
  <c r="L11" i="123"/>
  <c r="L12" i="123"/>
  <c r="L13" i="123"/>
  <c r="L14" i="123"/>
  <c r="L15" i="123"/>
  <c r="L16" i="123"/>
  <c r="L17" i="123"/>
  <c r="L18" i="123"/>
  <c r="L19" i="123"/>
  <c r="L20" i="123"/>
  <c r="L22" i="123"/>
  <c r="L23" i="123"/>
  <c r="L24" i="123"/>
  <c r="L25" i="123"/>
  <c r="L26" i="123"/>
  <c r="L27" i="123"/>
  <c r="L28" i="123"/>
  <c r="L29" i="123"/>
  <c r="L30" i="123"/>
  <c r="L31" i="123"/>
  <c r="L32" i="123"/>
  <c r="L33" i="123"/>
  <c r="L34" i="123"/>
  <c r="L35" i="123"/>
  <c r="L36" i="123"/>
  <c r="L37" i="123"/>
  <c r="L38" i="123"/>
  <c r="L39" i="123"/>
  <c r="L40" i="123"/>
  <c r="L41" i="123"/>
  <c r="L42" i="123"/>
  <c r="L43" i="123"/>
  <c r="L44" i="123"/>
  <c r="L45" i="123"/>
  <c r="L46" i="123"/>
  <c r="L47" i="123"/>
  <c r="L48" i="123"/>
  <c r="L49" i="123"/>
  <c r="L50" i="123"/>
  <c r="L51" i="123"/>
  <c r="L52" i="123"/>
  <c r="L53" i="123"/>
  <c r="L54" i="123"/>
  <c r="L55" i="123"/>
  <c r="L56" i="123"/>
  <c r="L57" i="123"/>
  <c r="L58" i="123"/>
  <c r="L59" i="123"/>
  <c r="L60" i="123"/>
  <c r="L61" i="123"/>
  <c r="L62" i="123"/>
  <c r="L63" i="123"/>
  <c r="L64" i="123"/>
  <c r="L65" i="123"/>
  <c r="L66" i="123"/>
  <c r="L67" i="123"/>
  <c r="L68" i="123"/>
  <c r="L69" i="123"/>
  <c r="L70" i="123"/>
  <c r="L71" i="123"/>
  <c r="L72" i="123"/>
  <c r="L73" i="123"/>
  <c r="L74" i="123"/>
  <c r="L75" i="123"/>
  <c r="L76" i="123"/>
  <c r="L77" i="123"/>
  <c r="L78" i="123"/>
  <c r="L79" i="123"/>
  <c r="L80" i="123"/>
  <c r="L81" i="123"/>
  <c r="L82" i="123"/>
  <c r="L83" i="123"/>
  <c r="L84" i="123"/>
  <c r="L85" i="123"/>
  <c r="L86" i="123"/>
  <c r="L87" i="123"/>
  <c r="L88" i="123"/>
  <c r="L89" i="123"/>
  <c r="L90" i="123"/>
  <c r="L91" i="123"/>
  <c r="L92" i="123"/>
  <c r="L93" i="123"/>
  <c r="L94" i="123"/>
  <c r="L95" i="123"/>
  <c r="L96" i="123"/>
  <c r="L97" i="123"/>
  <c r="L98" i="123"/>
  <c r="L99" i="123"/>
  <c r="L100" i="123"/>
  <c r="L101" i="123"/>
  <c r="L102" i="123"/>
  <c r="L103" i="123"/>
  <c r="L104" i="123"/>
  <c r="L105" i="123"/>
  <c r="L106" i="123"/>
  <c r="L107" i="123"/>
  <c r="L108" i="123"/>
  <c r="L109" i="123"/>
  <c r="L110" i="123"/>
  <c r="L111" i="123"/>
  <c r="L112" i="123"/>
  <c r="L113" i="123"/>
  <c r="L114" i="123"/>
  <c r="L115" i="123"/>
  <c r="L116" i="123"/>
  <c r="L117" i="123"/>
  <c r="L118" i="123"/>
  <c r="L119" i="123"/>
  <c r="L120" i="123"/>
  <c r="L121" i="123"/>
  <c r="L122" i="123"/>
  <c r="L123" i="123"/>
  <c r="L124" i="123"/>
  <c r="L125" i="123"/>
  <c r="L126" i="123"/>
  <c r="L127" i="123"/>
  <c r="L128" i="123"/>
  <c r="L129" i="123"/>
  <c r="L130" i="123"/>
  <c r="L131" i="123"/>
  <c r="L132" i="123"/>
  <c r="L133" i="123"/>
  <c r="L134" i="123"/>
  <c r="L135" i="123"/>
  <c r="L136" i="123"/>
  <c r="L137" i="123"/>
  <c r="L138" i="123"/>
  <c r="L139" i="123"/>
  <c r="L140" i="123"/>
  <c r="L141" i="123"/>
  <c r="L142" i="123"/>
  <c r="L143" i="123"/>
  <c r="L144" i="123"/>
  <c r="L145" i="123"/>
  <c r="L146" i="123"/>
  <c r="L147" i="123"/>
  <c r="L148" i="123"/>
  <c r="L149" i="123"/>
  <c r="L150" i="123"/>
  <c r="L151" i="123"/>
  <c r="L152" i="123"/>
  <c r="L153" i="123"/>
  <c r="L154" i="123"/>
  <c r="L155" i="123"/>
  <c r="L156" i="123"/>
  <c r="L157" i="123"/>
  <c r="L158" i="123"/>
  <c r="L159" i="123"/>
  <c r="L160" i="123"/>
  <c r="L161" i="123"/>
  <c r="L8" i="123"/>
  <c r="R11" i="131" l="1"/>
  <c r="R8" i="131"/>
  <c r="X24" i="150" l="1"/>
  <c r="J25" i="131" l="1"/>
  <c r="H25" i="131"/>
  <c r="I25" i="131"/>
  <c r="X24" i="134"/>
  <c r="H19" i="140"/>
  <c r="H20" i="140"/>
  <c r="H21" i="140"/>
  <c r="H22" i="140"/>
  <c r="H23" i="140"/>
  <c r="H24" i="140"/>
  <c r="H25" i="140"/>
  <c r="H26" i="140"/>
  <c r="H27" i="140"/>
  <c r="H28" i="140"/>
  <c r="H29" i="140"/>
  <c r="H30" i="140"/>
  <c r="H31" i="140"/>
  <c r="H32" i="140"/>
  <c r="H33" i="140"/>
  <c r="H34" i="140"/>
  <c r="H35" i="140"/>
  <c r="H36" i="140"/>
  <c r="H37" i="140"/>
  <c r="H38" i="140"/>
  <c r="H39" i="140"/>
  <c r="H40" i="140"/>
  <c r="H41" i="140"/>
  <c r="H42" i="140"/>
  <c r="H43" i="140"/>
  <c r="H44" i="140"/>
  <c r="H45" i="140"/>
  <c r="H46" i="140"/>
  <c r="H47" i="140"/>
  <c r="H48" i="140"/>
  <c r="H49" i="140"/>
  <c r="H50" i="140"/>
  <c r="H51" i="140"/>
  <c r="H52" i="140"/>
  <c r="H54" i="140"/>
  <c r="H55" i="140"/>
  <c r="H57" i="140"/>
  <c r="H58" i="140"/>
  <c r="H59" i="140"/>
  <c r="H60" i="140"/>
  <c r="H61" i="140"/>
  <c r="H62" i="140"/>
  <c r="H63" i="140"/>
  <c r="H64" i="140"/>
  <c r="H65" i="140"/>
  <c r="H66" i="140"/>
  <c r="H67" i="140"/>
  <c r="H68" i="140"/>
  <c r="H69" i="140"/>
  <c r="H70" i="140"/>
  <c r="H71" i="140"/>
  <c r="H72" i="140"/>
  <c r="H73" i="140"/>
  <c r="H74" i="140"/>
  <c r="H75" i="140"/>
  <c r="H76" i="140"/>
  <c r="H77" i="140"/>
  <c r="H78" i="140"/>
  <c r="H79" i="140"/>
  <c r="H80" i="140"/>
  <c r="H81" i="140"/>
  <c r="H82" i="140"/>
  <c r="H83" i="140"/>
  <c r="H84" i="140"/>
  <c r="H85" i="140"/>
  <c r="H86" i="140"/>
  <c r="H87" i="140"/>
  <c r="H88" i="140"/>
  <c r="H12" i="140"/>
  <c r="I11" i="140"/>
  <c r="H46" i="135"/>
  <c r="H43" i="138"/>
  <c r="H42" i="137"/>
  <c r="H54" i="133"/>
  <c r="B55" i="133"/>
  <c r="D9" i="131"/>
  <c r="D10" i="131"/>
  <c r="D8" i="131"/>
  <c r="I7" i="131"/>
  <c r="K161" i="123"/>
  <c r="K128" i="123"/>
  <c r="K127" i="123"/>
  <c r="K126" i="123"/>
  <c r="K122" i="123"/>
  <c r="K121" i="123"/>
  <c r="K120" i="123"/>
  <c r="K116" i="123"/>
  <c r="K115" i="123"/>
  <c r="K114" i="123"/>
  <c r="K113" i="123"/>
  <c r="K112" i="123"/>
  <c r="K107" i="123"/>
  <c r="S107" i="123" s="1"/>
  <c r="K106" i="123"/>
  <c r="K104" i="123"/>
  <c r="K103" i="123"/>
  <c r="K102" i="123"/>
  <c r="K96" i="123"/>
  <c r="K95" i="123"/>
  <c r="K94" i="123"/>
  <c r="K93" i="123"/>
  <c r="K92" i="123"/>
  <c r="K91" i="123"/>
  <c r="K90" i="123"/>
  <c r="K89" i="123"/>
  <c r="K88" i="123"/>
  <c r="K79" i="123"/>
  <c r="K78" i="123"/>
  <c r="K77" i="123"/>
  <c r="K76" i="123"/>
  <c r="K72" i="123"/>
  <c r="K71" i="123"/>
  <c r="K70" i="123"/>
  <c r="K69" i="123"/>
  <c r="K68" i="123"/>
  <c r="K67" i="123"/>
  <c r="K66" i="123"/>
  <c r="K63" i="123"/>
  <c r="K61" i="123"/>
  <c r="K60" i="123"/>
  <c r="K59" i="123"/>
  <c r="K58" i="123"/>
  <c r="K57" i="123"/>
  <c r="K56" i="123"/>
  <c r="K55" i="123"/>
  <c r="K54" i="123"/>
  <c r="K53" i="123"/>
  <c r="K52" i="123"/>
  <c r="K51" i="123"/>
  <c r="K47" i="123"/>
  <c r="K44" i="123"/>
  <c r="K43" i="123"/>
  <c r="K42" i="123"/>
  <c r="K41" i="123"/>
  <c r="K40" i="123"/>
  <c r="K39" i="123"/>
  <c r="K38" i="123"/>
  <c r="K37" i="123"/>
  <c r="K36" i="123"/>
  <c r="K35" i="123"/>
  <c r="K34" i="123"/>
  <c r="K33" i="123"/>
  <c r="K32" i="123"/>
  <c r="K28" i="123"/>
  <c r="K16" i="123"/>
  <c r="K15" i="123"/>
  <c r="K14" i="123"/>
  <c r="K13" i="123"/>
  <c r="K12" i="123"/>
  <c r="K11" i="123"/>
  <c r="K10" i="123"/>
  <c r="K9" i="123"/>
  <c r="K8" i="123"/>
  <c r="G9" i="123"/>
  <c r="G10" i="123"/>
  <c r="G11" i="123"/>
  <c r="G12" i="123"/>
  <c r="G13" i="123"/>
  <c r="G14" i="123"/>
  <c r="G15" i="123"/>
  <c r="G16" i="123"/>
  <c r="G17" i="123"/>
  <c r="G18" i="123"/>
  <c r="G19" i="123"/>
  <c r="G20" i="123"/>
  <c r="G21" i="123"/>
  <c r="G22" i="123"/>
  <c r="G23" i="123"/>
  <c r="G24" i="123"/>
  <c r="G25" i="123"/>
  <c r="G26" i="123"/>
  <c r="G27" i="123"/>
  <c r="G28" i="123"/>
  <c r="G29" i="123"/>
  <c r="G30" i="123"/>
  <c r="G31" i="123"/>
  <c r="G32" i="123"/>
  <c r="G33" i="123"/>
  <c r="G34" i="123"/>
  <c r="G35" i="123"/>
  <c r="G36" i="123"/>
  <c r="G37" i="123"/>
  <c r="G38" i="123"/>
  <c r="G39" i="123"/>
  <c r="G40" i="123"/>
  <c r="G41" i="123"/>
  <c r="G42" i="123"/>
  <c r="G43" i="123"/>
  <c r="G44" i="123"/>
  <c r="G45" i="123"/>
  <c r="G46" i="123"/>
  <c r="G47" i="123"/>
  <c r="G48" i="123"/>
  <c r="G49" i="123"/>
  <c r="G50" i="123"/>
  <c r="G51" i="123"/>
  <c r="G52" i="123"/>
  <c r="G53" i="123"/>
  <c r="G54" i="123"/>
  <c r="G55" i="123"/>
  <c r="G56" i="123"/>
  <c r="G57" i="123"/>
  <c r="G58" i="123"/>
  <c r="G59" i="123"/>
  <c r="G60" i="123"/>
  <c r="G61" i="123"/>
  <c r="G62" i="123"/>
  <c r="G63" i="123"/>
  <c r="G64" i="123"/>
  <c r="G65" i="123"/>
  <c r="G66" i="123"/>
  <c r="G67" i="123"/>
  <c r="G68" i="123"/>
  <c r="G69" i="123"/>
  <c r="G70" i="123"/>
  <c r="G71" i="123"/>
  <c r="G72" i="123"/>
  <c r="G73" i="123"/>
  <c r="G74" i="123"/>
  <c r="G75" i="123"/>
  <c r="G76" i="123"/>
  <c r="G77" i="123"/>
  <c r="G78" i="123"/>
  <c r="G79" i="123"/>
  <c r="G80" i="123"/>
  <c r="G81" i="123"/>
  <c r="G82" i="123"/>
  <c r="G83" i="123"/>
  <c r="G84" i="123"/>
  <c r="G85" i="123"/>
  <c r="G86" i="123"/>
  <c r="G87" i="123"/>
  <c r="G88" i="123"/>
  <c r="G89" i="123"/>
  <c r="G90" i="123"/>
  <c r="G91" i="123"/>
  <c r="G92" i="123"/>
  <c r="G93" i="123"/>
  <c r="G94" i="123"/>
  <c r="G95" i="123"/>
  <c r="G96" i="123"/>
  <c r="G97" i="123"/>
  <c r="G98" i="123"/>
  <c r="G99" i="123"/>
  <c r="G100" i="123"/>
  <c r="G101" i="123"/>
  <c r="G102" i="123"/>
  <c r="G103" i="123"/>
  <c r="G104" i="123"/>
  <c r="G105" i="123"/>
  <c r="G106" i="123"/>
  <c r="G107" i="123"/>
  <c r="G108" i="123"/>
  <c r="G109" i="123"/>
  <c r="G110" i="123"/>
  <c r="G111" i="123"/>
  <c r="G112" i="123"/>
  <c r="G113" i="123"/>
  <c r="G114" i="123"/>
  <c r="G115" i="123"/>
  <c r="G116" i="123"/>
  <c r="G117" i="123"/>
  <c r="G118" i="123"/>
  <c r="G119" i="123"/>
  <c r="G120" i="123"/>
  <c r="G121" i="123"/>
  <c r="G122" i="123"/>
  <c r="G123" i="123"/>
  <c r="G124" i="123"/>
  <c r="G125" i="123"/>
  <c r="G126" i="123"/>
  <c r="G127" i="123"/>
  <c r="G128" i="123"/>
  <c r="G129" i="123"/>
  <c r="G130" i="123"/>
  <c r="G131" i="123"/>
  <c r="G132" i="123"/>
  <c r="G133" i="123"/>
  <c r="G134" i="123"/>
  <c r="G135" i="123"/>
  <c r="G136" i="123"/>
  <c r="G137" i="123"/>
  <c r="G138" i="123"/>
  <c r="G139" i="123"/>
  <c r="G140" i="123"/>
  <c r="G141" i="123"/>
  <c r="G142" i="123"/>
  <c r="G143" i="123"/>
  <c r="G144" i="123"/>
  <c r="G145" i="123"/>
  <c r="G146" i="123"/>
  <c r="G147" i="123"/>
  <c r="G148" i="123"/>
  <c r="G149" i="123"/>
  <c r="G150" i="123"/>
  <c r="G151" i="123"/>
  <c r="G152" i="123"/>
  <c r="G153" i="123"/>
  <c r="G154" i="123"/>
  <c r="G155" i="123"/>
  <c r="G156" i="123"/>
  <c r="G157" i="123"/>
  <c r="G158" i="123"/>
  <c r="G159" i="123"/>
  <c r="G160" i="123"/>
  <c r="G161" i="123"/>
  <c r="G8" i="123"/>
  <c r="N7" i="123" s="1"/>
  <c r="H9" i="123"/>
  <c r="I9" i="123"/>
  <c r="H10" i="123"/>
  <c r="I10" i="123"/>
  <c r="H11" i="123"/>
  <c r="I11" i="123"/>
  <c r="H12" i="123"/>
  <c r="I12" i="123"/>
  <c r="H13" i="123"/>
  <c r="I13" i="123"/>
  <c r="H14" i="123"/>
  <c r="I14" i="123"/>
  <c r="H15" i="123"/>
  <c r="I15" i="123"/>
  <c r="H16" i="123"/>
  <c r="I16" i="123"/>
  <c r="H17" i="123"/>
  <c r="I17" i="123"/>
  <c r="H18" i="123"/>
  <c r="I18" i="123"/>
  <c r="H19" i="123"/>
  <c r="I19" i="123"/>
  <c r="H20" i="123"/>
  <c r="I20" i="123"/>
  <c r="H21" i="123"/>
  <c r="I21" i="123"/>
  <c r="H22" i="123"/>
  <c r="I22" i="123"/>
  <c r="H23" i="123"/>
  <c r="I23" i="123"/>
  <c r="H24" i="123"/>
  <c r="I24" i="123"/>
  <c r="H25" i="123"/>
  <c r="I25" i="123"/>
  <c r="H26" i="123"/>
  <c r="I26" i="123"/>
  <c r="H27" i="123"/>
  <c r="I27" i="123"/>
  <c r="H28" i="123"/>
  <c r="I28" i="123"/>
  <c r="H29" i="123"/>
  <c r="I29" i="123"/>
  <c r="H30" i="123"/>
  <c r="I30" i="123"/>
  <c r="H31" i="123"/>
  <c r="I31" i="123"/>
  <c r="H32" i="123"/>
  <c r="I32" i="123"/>
  <c r="H33" i="123"/>
  <c r="I33" i="123"/>
  <c r="H34" i="123"/>
  <c r="I34" i="123"/>
  <c r="H35" i="123"/>
  <c r="I35" i="123"/>
  <c r="H36" i="123"/>
  <c r="I36" i="123"/>
  <c r="H37" i="123"/>
  <c r="I37" i="123"/>
  <c r="H38" i="123"/>
  <c r="I38" i="123"/>
  <c r="H39" i="123"/>
  <c r="I39" i="123"/>
  <c r="H40" i="123"/>
  <c r="I40" i="123"/>
  <c r="H41" i="123"/>
  <c r="I41" i="123"/>
  <c r="H42" i="123"/>
  <c r="I42" i="123"/>
  <c r="H43" i="123"/>
  <c r="I43" i="123"/>
  <c r="H44" i="123"/>
  <c r="I44" i="123"/>
  <c r="H45" i="123"/>
  <c r="I45" i="123"/>
  <c r="H46" i="123"/>
  <c r="I46" i="123"/>
  <c r="H47" i="123"/>
  <c r="I47" i="123"/>
  <c r="H48" i="123"/>
  <c r="I48" i="123"/>
  <c r="H49" i="123"/>
  <c r="I49" i="123"/>
  <c r="H50" i="123"/>
  <c r="I50" i="123"/>
  <c r="H51" i="123"/>
  <c r="I51" i="123"/>
  <c r="H52" i="123"/>
  <c r="I52" i="123"/>
  <c r="H53" i="123"/>
  <c r="I53" i="123"/>
  <c r="H54" i="123"/>
  <c r="I54" i="123"/>
  <c r="H55" i="123"/>
  <c r="I55" i="123"/>
  <c r="H56" i="123"/>
  <c r="I56" i="123"/>
  <c r="H57" i="123"/>
  <c r="I57" i="123"/>
  <c r="H58" i="123"/>
  <c r="I58" i="123"/>
  <c r="H59" i="123"/>
  <c r="I59" i="123"/>
  <c r="H60" i="123"/>
  <c r="I60" i="123"/>
  <c r="H61" i="123"/>
  <c r="I61" i="123"/>
  <c r="H62" i="123"/>
  <c r="I62" i="123"/>
  <c r="H63" i="123"/>
  <c r="I63" i="123"/>
  <c r="H64" i="123"/>
  <c r="I64" i="123"/>
  <c r="H65" i="123"/>
  <c r="I65" i="123"/>
  <c r="H66" i="123"/>
  <c r="I66" i="123"/>
  <c r="H67" i="123"/>
  <c r="I67" i="123"/>
  <c r="H68" i="123"/>
  <c r="I68" i="123"/>
  <c r="H69" i="123"/>
  <c r="I69" i="123"/>
  <c r="H70" i="123"/>
  <c r="I70" i="123"/>
  <c r="H71" i="123"/>
  <c r="I71" i="123"/>
  <c r="H72" i="123"/>
  <c r="I72" i="123"/>
  <c r="H73" i="123"/>
  <c r="I73" i="123"/>
  <c r="H74" i="123"/>
  <c r="I74" i="123"/>
  <c r="H75" i="123"/>
  <c r="I75" i="123"/>
  <c r="H76" i="123"/>
  <c r="I76" i="123"/>
  <c r="H77" i="123"/>
  <c r="I77" i="123"/>
  <c r="H78" i="123"/>
  <c r="I78" i="123"/>
  <c r="H79" i="123"/>
  <c r="I79" i="123"/>
  <c r="H80" i="123"/>
  <c r="I80" i="123"/>
  <c r="H81" i="123"/>
  <c r="I81" i="123"/>
  <c r="H82" i="123"/>
  <c r="I82" i="123"/>
  <c r="H83" i="123"/>
  <c r="I83" i="123"/>
  <c r="H84" i="123"/>
  <c r="I84" i="123"/>
  <c r="H85" i="123"/>
  <c r="I85" i="123"/>
  <c r="H86" i="123"/>
  <c r="I86" i="123"/>
  <c r="H87" i="123"/>
  <c r="I87" i="123"/>
  <c r="H88" i="123"/>
  <c r="I88" i="123"/>
  <c r="H89" i="123"/>
  <c r="I89" i="123"/>
  <c r="H90" i="123"/>
  <c r="I90" i="123"/>
  <c r="H91" i="123"/>
  <c r="I91" i="123"/>
  <c r="H92" i="123"/>
  <c r="I92" i="123"/>
  <c r="H93" i="123"/>
  <c r="I93" i="123"/>
  <c r="H94" i="123"/>
  <c r="I94" i="123"/>
  <c r="H95" i="123"/>
  <c r="I95" i="123"/>
  <c r="H96" i="123"/>
  <c r="I96" i="123"/>
  <c r="H97" i="123"/>
  <c r="I97" i="123"/>
  <c r="H98" i="123"/>
  <c r="I98" i="123"/>
  <c r="H99" i="123"/>
  <c r="I99" i="123"/>
  <c r="H100" i="123"/>
  <c r="I100" i="123"/>
  <c r="H101" i="123"/>
  <c r="I101" i="123"/>
  <c r="H102" i="123"/>
  <c r="I102" i="123"/>
  <c r="H103" i="123"/>
  <c r="I103" i="123"/>
  <c r="H104" i="123"/>
  <c r="I104" i="123"/>
  <c r="H105" i="123"/>
  <c r="I105" i="123"/>
  <c r="H106" i="123"/>
  <c r="I106" i="123"/>
  <c r="H107" i="123"/>
  <c r="I107" i="123"/>
  <c r="H108" i="123"/>
  <c r="I108" i="123"/>
  <c r="H109" i="123"/>
  <c r="I109" i="123"/>
  <c r="H110" i="123"/>
  <c r="I110" i="123"/>
  <c r="H111" i="123"/>
  <c r="I111" i="123"/>
  <c r="H112" i="123"/>
  <c r="I112" i="123"/>
  <c r="H113" i="123"/>
  <c r="I113" i="123"/>
  <c r="H114" i="123"/>
  <c r="I114" i="123"/>
  <c r="H115" i="123"/>
  <c r="I115" i="123"/>
  <c r="H116" i="123"/>
  <c r="I116" i="123"/>
  <c r="H117" i="123"/>
  <c r="I117" i="123"/>
  <c r="H118" i="123"/>
  <c r="I118" i="123"/>
  <c r="H119" i="123"/>
  <c r="I119" i="123"/>
  <c r="H120" i="123"/>
  <c r="I120" i="123"/>
  <c r="H121" i="123"/>
  <c r="I121" i="123"/>
  <c r="H122" i="123"/>
  <c r="I122" i="123"/>
  <c r="H123" i="123"/>
  <c r="I123" i="123"/>
  <c r="H124" i="123"/>
  <c r="I124" i="123"/>
  <c r="H125" i="123"/>
  <c r="I125" i="123"/>
  <c r="H126" i="123"/>
  <c r="I126" i="123"/>
  <c r="H127" i="123"/>
  <c r="I127" i="123"/>
  <c r="H128" i="123"/>
  <c r="I128" i="123"/>
  <c r="H129" i="123"/>
  <c r="I129" i="123"/>
  <c r="H130" i="123"/>
  <c r="I130" i="123"/>
  <c r="H131" i="123"/>
  <c r="I131" i="123"/>
  <c r="H132" i="123"/>
  <c r="I132" i="123"/>
  <c r="H133" i="123"/>
  <c r="I133" i="123"/>
  <c r="H134" i="123"/>
  <c r="I134" i="123"/>
  <c r="H135" i="123"/>
  <c r="I135" i="123"/>
  <c r="H136" i="123"/>
  <c r="I136" i="123"/>
  <c r="H137" i="123"/>
  <c r="I137" i="123"/>
  <c r="H138" i="123"/>
  <c r="I138" i="123"/>
  <c r="H139" i="123"/>
  <c r="I139" i="123"/>
  <c r="H140" i="123"/>
  <c r="I140" i="123"/>
  <c r="H141" i="123"/>
  <c r="I141" i="123"/>
  <c r="H142" i="123"/>
  <c r="I142" i="123"/>
  <c r="H143" i="123"/>
  <c r="I143" i="123"/>
  <c r="H144" i="123"/>
  <c r="I144" i="123"/>
  <c r="H145" i="123"/>
  <c r="I145" i="123"/>
  <c r="H146" i="123"/>
  <c r="I146" i="123"/>
  <c r="H147" i="123"/>
  <c r="I147" i="123"/>
  <c r="H148" i="123"/>
  <c r="I148" i="123"/>
  <c r="H149" i="123"/>
  <c r="I149" i="123"/>
  <c r="H150" i="123"/>
  <c r="I150" i="123"/>
  <c r="H151" i="123"/>
  <c r="I151" i="123"/>
  <c r="H152" i="123"/>
  <c r="I152" i="123"/>
  <c r="H153" i="123"/>
  <c r="I153" i="123"/>
  <c r="H154" i="123"/>
  <c r="I154" i="123"/>
  <c r="H155" i="123"/>
  <c r="I155" i="123"/>
  <c r="H156" i="123"/>
  <c r="I156" i="123"/>
  <c r="H157" i="123"/>
  <c r="I157" i="123"/>
  <c r="H158" i="123"/>
  <c r="I158" i="123"/>
  <c r="H159" i="123"/>
  <c r="I159" i="123"/>
  <c r="H160" i="123"/>
  <c r="I160" i="123"/>
  <c r="H8" i="123"/>
  <c r="I8" i="123"/>
  <c r="K39" i="131" l="1"/>
  <c r="L21" i="123"/>
  <c r="E25" i="150"/>
  <c r="H26" i="150"/>
  <c r="L26" i="150"/>
  <c r="P26" i="150"/>
  <c r="E26" i="150"/>
  <c r="Q26" i="150"/>
  <c r="D25" i="150"/>
  <c r="N26" i="150"/>
  <c r="G26" i="150"/>
  <c r="K26" i="150"/>
  <c r="O26" i="150"/>
  <c r="S26" i="150"/>
  <c r="W26" i="150"/>
  <c r="T26" i="150"/>
  <c r="I26" i="150"/>
  <c r="M26" i="150"/>
  <c r="U26" i="150"/>
  <c r="F26" i="150"/>
  <c r="J26" i="150"/>
  <c r="R26" i="150"/>
  <c r="V26" i="150"/>
  <c r="D25" i="134"/>
  <c r="D26" i="134" s="1"/>
  <c r="E25" i="134"/>
  <c r="E26" i="134" s="1"/>
  <c r="V25" i="150"/>
  <c r="U25" i="150"/>
  <c r="T25" i="150"/>
  <c r="R25" i="150"/>
  <c r="Q25" i="150"/>
  <c r="P25" i="150"/>
  <c r="O25" i="150"/>
  <c r="M25" i="150"/>
  <c r="K35" i="131"/>
  <c r="K32" i="131"/>
  <c r="K29" i="131"/>
  <c r="K30" i="131"/>
  <c r="E8" i="131"/>
  <c r="F8" i="131" s="1"/>
  <c r="L25" i="150"/>
  <c r="K25" i="150"/>
  <c r="J25" i="150"/>
  <c r="H25" i="150"/>
  <c r="S25" i="150"/>
  <c r="F25" i="150"/>
  <c r="G25" i="150"/>
  <c r="W25" i="150"/>
  <c r="N25" i="150"/>
  <c r="I25" i="150"/>
  <c r="E10" i="131"/>
  <c r="F10" i="131" s="1"/>
  <c r="E9" i="131"/>
  <c r="F9" i="131" s="1"/>
  <c r="O7" i="123"/>
  <c r="J8" i="123"/>
  <c r="G55" i="133" s="1"/>
  <c r="K42" i="131" l="1"/>
  <c r="K41" i="131"/>
  <c r="K26" i="131"/>
  <c r="K28" i="131"/>
  <c r="K31" i="131"/>
  <c r="K38" i="131"/>
  <c r="K37" i="131"/>
  <c r="K40" i="131"/>
  <c r="K43" i="131"/>
  <c r="K27" i="131"/>
  <c r="K34" i="131"/>
  <c r="K33" i="131"/>
  <c r="K36" i="131"/>
  <c r="E27" i="150"/>
  <c r="D27" i="150"/>
  <c r="B62" i="133"/>
  <c r="C62" i="133"/>
  <c r="D62" i="133"/>
  <c r="E62" i="133"/>
  <c r="F62" i="133"/>
  <c r="B63" i="133"/>
  <c r="C63" i="133"/>
  <c r="D63" i="133"/>
  <c r="E63" i="133"/>
  <c r="F63" i="133"/>
  <c r="B64" i="133"/>
  <c r="C64" i="133"/>
  <c r="D64" i="133"/>
  <c r="E64" i="133"/>
  <c r="F64" i="133"/>
  <c r="B65" i="133"/>
  <c r="C65" i="133"/>
  <c r="D65" i="133"/>
  <c r="E65" i="133"/>
  <c r="F65" i="133"/>
  <c r="B66" i="133"/>
  <c r="C66" i="133"/>
  <c r="D66" i="133"/>
  <c r="E66" i="133"/>
  <c r="F66" i="133"/>
  <c r="D68" i="148" l="1"/>
  <c r="D69" i="148"/>
  <c r="D70" i="148"/>
  <c r="D71" i="148"/>
  <c r="D67" i="148"/>
  <c r="C31" i="150" s="1"/>
  <c r="E71" i="148"/>
  <c r="D3" i="149"/>
  <c r="E67" i="148" s="1"/>
  <c r="E68" i="148" l="1"/>
  <c r="C38" i="134" s="1"/>
  <c r="E69" i="148"/>
  <c r="C39" i="150" s="1"/>
  <c r="E70" i="148"/>
  <c r="C40" i="150" s="1"/>
  <c r="C41" i="134"/>
  <c r="C41" i="150"/>
  <c r="C34" i="134"/>
  <c r="C34" i="150"/>
  <c r="C33" i="134"/>
  <c r="C33" i="150"/>
  <c r="C37" i="134"/>
  <c r="C37" i="150"/>
  <c r="C35" i="134"/>
  <c r="C35" i="150"/>
  <c r="C32" i="134"/>
  <c r="C32" i="150"/>
  <c r="C31" i="134"/>
  <c r="B90" i="140"/>
  <c r="F88" i="140"/>
  <c r="E88" i="140"/>
  <c r="D88" i="140"/>
  <c r="C88" i="140"/>
  <c r="B88" i="140"/>
  <c r="F87" i="140"/>
  <c r="E87" i="140"/>
  <c r="D87" i="140"/>
  <c r="C87" i="140"/>
  <c r="B87" i="140"/>
  <c r="F86" i="140"/>
  <c r="E86" i="140"/>
  <c r="D86" i="140"/>
  <c r="C86" i="140"/>
  <c r="B86" i="140"/>
  <c r="F85" i="140"/>
  <c r="E85" i="140"/>
  <c r="D85" i="140"/>
  <c r="C85" i="140"/>
  <c r="B85" i="140"/>
  <c r="F84" i="140"/>
  <c r="E84" i="140"/>
  <c r="D84" i="140"/>
  <c r="C84" i="140"/>
  <c r="B84" i="140"/>
  <c r="F83" i="140"/>
  <c r="E83" i="140"/>
  <c r="D83" i="140"/>
  <c r="C83" i="140"/>
  <c r="B83" i="140"/>
  <c r="F82" i="140"/>
  <c r="E82" i="140"/>
  <c r="D82" i="140"/>
  <c r="C82" i="140"/>
  <c r="B82" i="140"/>
  <c r="F81" i="140"/>
  <c r="E81" i="140"/>
  <c r="D81" i="140"/>
  <c r="C81" i="140"/>
  <c r="B81" i="140"/>
  <c r="F80" i="140"/>
  <c r="E80" i="140"/>
  <c r="D80" i="140"/>
  <c r="C80" i="140"/>
  <c r="B80" i="140"/>
  <c r="F79" i="140"/>
  <c r="E79" i="140"/>
  <c r="D79" i="140"/>
  <c r="C79" i="140"/>
  <c r="B79" i="140"/>
  <c r="F78" i="140"/>
  <c r="E78" i="140"/>
  <c r="D78" i="140"/>
  <c r="C78" i="140"/>
  <c r="B78" i="140"/>
  <c r="F77" i="140"/>
  <c r="E77" i="140"/>
  <c r="D77" i="140"/>
  <c r="C77" i="140"/>
  <c r="B77" i="140"/>
  <c r="F76" i="140"/>
  <c r="E76" i="140"/>
  <c r="D76" i="140"/>
  <c r="C76" i="140"/>
  <c r="B76" i="140"/>
  <c r="F75" i="140"/>
  <c r="E75" i="140"/>
  <c r="D75" i="140"/>
  <c r="C75" i="140"/>
  <c r="B75" i="140"/>
  <c r="F74" i="140"/>
  <c r="E74" i="140"/>
  <c r="D74" i="140"/>
  <c r="C74" i="140"/>
  <c r="B74" i="140"/>
  <c r="F73" i="140"/>
  <c r="E73" i="140"/>
  <c r="D73" i="140"/>
  <c r="C73" i="140"/>
  <c r="B73" i="140"/>
  <c r="F72" i="140"/>
  <c r="E72" i="140"/>
  <c r="D72" i="140"/>
  <c r="C72" i="140"/>
  <c r="B72" i="140"/>
  <c r="F71" i="140"/>
  <c r="E71" i="140"/>
  <c r="D71" i="140"/>
  <c r="C71" i="140"/>
  <c r="B71" i="140"/>
  <c r="F70" i="140"/>
  <c r="E70" i="140"/>
  <c r="D70" i="140"/>
  <c r="C70" i="140"/>
  <c r="B70" i="140"/>
  <c r="F69" i="140"/>
  <c r="E69" i="140"/>
  <c r="D69" i="140"/>
  <c r="C69" i="140"/>
  <c r="B69" i="140"/>
  <c r="F68" i="140"/>
  <c r="E68" i="140"/>
  <c r="D68" i="140"/>
  <c r="C68" i="140"/>
  <c r="B68" i="140"/>
  <c r="F67" i="140"/>
  <c r="E67" i="140"/>
  <c r="D67" i="140"/>
  <c r="C67" i="140"/>
  <c r="B67" i="140"/>
  <c r="F66" i="140"/>
  <c r="E66" i="140"/>
  <c r="D66" i="140"/>
  <c r="C66" i="140"/>
  <c r="B66" i="140"/>
  <c r="F65" i="140"/>
  <c r="E65" i="140"/>
  <c r="D65" i="140"/>
  <c r="C65" i="140"/>
  <c r="B65" i="140"/>
  <c r="F64" i="140"/>
  <c r="E64" i="140"/>
  <c r="D64" i="140"/>
  <c r="C64" i="140"/>
  <c r="B64" i="140"/>
  <c r="F63" i="140"/>
  <c r="E63" i="140"/>
  <c r="D63" i="140"/>
  <c r="C63" i="140"/>
  <c r="B63" i="140"/>
  <c r="F62" i="140"/>
  <c r="E62" i="140"/>
  <c r="D62" i="140"/>
  <c r="C62" i="140"/>
  <c r="B62" i="140"/>
  <c r="F61" i="140"/>
  <c r="E61" i="140"/>
  <c r="D61" i="140"/>
  <c r="C61" i="140"/>
  <c r="B61" i="140"/>
  <c r="F60" i="140"/>
  <c r="E60" i="140"/>
  <c r="D60" i="140"/>
  <c r="C60" i="140"/>
  <c r="B60" i="140"/>
  <c r="F59" i="140"/>
  <c r="E59" i="140"/>
  <c r="D59" i="140"/>
  <c r="C59" i="140"/>
  <c r="B59" i="140"/>
  <c r="F58" i="140"/>
  <c r="E58" i="140"/>
  <c r="D58" i="140"/>
  <c r="C58" i="140"/>
  <c r="B58" i="140"/>
  <c r="F57" i="140"/>
  <c r="E57" i="140"/>
  <c r="D57" i="140"/>
  <c r="C57" i="140"/>
  <c r="B57" i="140"/>
  <c r="F56" i="140"/>
  <c r="E56" i="140"/>
  <c r="D56" i="140"/>
  <c r="C56" i="140"/>
  <c r="B56" i="140"/>
  <c r="F55" i="140"/>
  <c r="E55" i="140"/>
  <c r="D55" i="140"/>
  <c r="C55" i="140"/>
  <c r="B55" i="140"/>
  <c r="F54" i="140"/>
  <c r="E54" i="140"/>
  <c r="D54" i="140"/>
  <c r="C54" i="140"/>
  <c r="B54" i="140"/>
  <c r="F53" i="140"/>
  <c r="E53" i="140"/>
  <c r="D53" i="140"/>
  <c r="C53" i="140"/>
  <c r="B53" i="140"/>
  <c r="F52" i="140"/>
  <c r="E52" i="140"/>
  <c r="D52" i="140"/>
  <c r="C52" i="140"/>
  <c r="B52" i="140"/>
  <c r="F51" i="140"/>
  <c r="E51" i="140"/>
  <c r="D51" i="140"/>
  <c r="C51" i="140"/>
  <c r="B51" i="140"/>
  <c r="F50" i="140"/>
  <c r="E50" i="140"/>
  <c r="D50" i="140"/>
  <c r="C50" i="140"/>
  <c r="B50" i="140"/>
  <c r="F49" i="140"/>
  <c r="E49" i="140"/>
  <c r="D49" i="140"/>
  <c r="C49" i="140"/>
  <c r="B49" i="140"/>
  <c r="F48" i="140"/>
  <c r="E48" i="140"/>
  <c r="D48" i="140"/>
  <c r="C48" i="140"/>
  <c r="B48" i="140"/>
  <c r="F47" i="140"/>
  <c r="E47" i="140"/>
  <c r="D47" i="140"/>
  <c r="C47" i="140"/>
  <c r="B47" i="140"/>
  <c r="F46" i="140"/>
  <c r="E46" i="140"/>
  <c r="D46" i="140"/>
  <c r="C46" i="140"/>
  <c r="B46" i="140"/>
  <c r="F45" i="140"/>
  <c r="E45" i="140"/>
  <c r="D45" i="140"/>
  <c r="C45" i="140"/>
  <c r="B45" i="140"/>
  <c r="F44" i="140"/>
  <c r="E44" i="140"/>
  <c r="D44" i="140"/>
  <c r="C44" i="140"/>
  <c r="B44" i="140"/>
  <c r="F43" i="140"/>
  <c r="E43" i="140"/>
  <c r="D43" i="140"/>
  <c r="C43" i="140"/>
  <c r="B43" i="140"/>
  <c r="F42" i="140"/>
  <c r="E42" i="140"/>
  <c r="D42" i="140"/>
  <c r="C42" i="140"/>
  <c r="B42" i="140"/>
  <c r="F41" i="140"/>
  <c r="E41" i="140"/>
  <c r="D41" i="140"/>
  <c r="C41" i="140"/>
  <c r="B41" i="140"/>
  <c r="F40" i="140"/>
  <c r="E40" i="140"/>
  <c r="D40" i="140"/>
  <c r="C40" i="140"/>
  <c r="B40" i="140"/>
  <c r="F39" i="140"/>
  <c r="E39" i="140"/>
  <c r="D39" i="140"/>
  <c r="C39" i="140"/>
  <c r="B39" i="140"/>
  <c r="F38" i="140"/>
  <c r="E38" i="140"/>
  <c r="D38" i="140"/>
  <c r="C38" i="140"/>
  <c r="B38" i="140"/>
  <c r="F37" i="140"/>
  <c r="E37" i="140"/>
  <c r="D37" i="140"/>
  <c r="C37" i="140"/>
  <c r="B37" i="140"/>
  <c r="F36" i="140"/>
  <c r="E36" i="140"/>
  <c r="D36" i="140"/>
  <c r="C36" i="140"/>
  <c r="B36" i="140"/>
  <c r="F35" i="140"/>
  <c r="E35" i="140"/>
  <c r="D35" i="140"/>
  <c r="C35" i="140"/>
  <c r="B35" i="140"/>
  <c r="F34" i="140"/>
  <c r="E34" i="140"/>
  <c r="D34" i="140"/>
  <c r="C34" i="140"/>
  <c r="B34" i="140"/>
  <c r="F33" i="140"/>
  <c r="E33" i="140"/>
  <c r="D33" i="140"/>
  <c r="C33" i="140"/>
  <c r="B33" i="140"/>
  <c r="F32" i="140"/>
  <c r="E32" i="140"/>
  <c r="D32" i="140"/>
  <c r="C32" i="140"/>
  <c r="B32" i="140"/>
  <c r="F31" i="140"/>
  <c r="E31" i="140"/>
  <c r="D31" i="140"/>
  <c r="C31" i="140"/>
  <c r="B31" i="140"/>
  <c r="F30" i="140"/>
  <c r="E30" i="140"/>
  <c r="D30" i="140"/>
  <c r="C30" i="140"/>
  <c r="B30" i="140"/>
  <c r="F29" i="140"/>
  <c r="E29" i="140"/>
  <c r="D29" i="140"/>
  <c r="C29" i="140"/>
  <c r="B29" i="140"/>
  <c r="F28" i="140"/>
  <c r="E28" i="140"/>
  <c r="D28" i="140"/>
  <c r="C28" i="140"/>
  <c r="B28" i="140"/>
  <c r="F27" i="140"/>
  <c r="E27" i="140"/>
  <c r="D27" i="140"/>
  <c r="C27" i="140"/>
  <c r="B27" i="140"/>
  <c r="F26" i="140"/>
  <c r="E26" i="140"/>
  <c r="D26" i="140"/>
  <c r="C26" i="140"/>
  <c r="B26" i="140"/>
  <c r="F25" i="140"/>
  <c r="E25" i="140"/>
  <c r="D25" i="140"/>
  <c r="C25" i="140"/>
  <c r="B25" i="140"/>
  <c r="F24" i="140"/>
  <c r="E24" i="140"/>
  <c r="D24" i="140"/>
  <c r="C24" i="140"/>
  <c r="B24" i="140"/>
  <c r="F23" i="140"/>
  <c r="E23" i="140"/>
  <c r="D23" i="140"/>
  <c r="C23" i="140"/>
  <c r="B23" i="140"/>
  <c r="F22" i="140"/>
  <c r="E22" i="140"/>
  <c r="D22" i="140"/>
  <c r="C22" i="140"/>
  <c r="B22" i="140"/>
  <c r="F21" i="140"/>
  <c r="E21" i="140"/>
  <c r="D21" i="140"/>
  <c r="C21" i="140"/>
  <c r="B21" i="140"/>
  <c r="F20" i="140"/>
  <c r="E20" i="140"/>
  <c r="D20" i="140"/>
  <c r="C20" i="140"/>
  <c r="B20" i="140"/>
  <c r="F19" i="140"/>
  <c r="E19" i="140"/>
  <c r="D19" i="140"/>
  <c r="C19" i="140"/>
  <c r="B19" i="140"/>
  <c r="F18" i="140"/>
  <c r="E18" i="140"/>
  <c r="D18" i="140"/>
  <c r="C18" i="140"/>
  <c r="B18" i="140"/>
  <c r="F17" i="140"/>
  <c r="E17" i="140"/>
  <c r="D17" i="140"/>
  <c r="C17" i="140"/>
  <c r="B17" i="140"/>
  <c r="F16" i="140"/>
  <c r="E16" i="140"/>
  <c r="D16" i="140"/>
  <c r="C16" i="140"/>
  <c r="B16" i="140"/>
  <c r="F14" i="140"/>
  <c r="E14" i="140"/>
  <c r="D14" i="140"/>
  <c r="C14" i="140"/>
  <c r="B14" i="140"/>
  <c r="F13" i="140"/>
  <c r="E13" i="140"/>
  <c r="D13" i="140"/>
  <c r="C13" i="140"/>
  <c r="B13" i="140"/>
  <c r="F12" i="140"/>
  <c r="E12" i="140"/>
  <c r="D12" i="140"/>
  <c r="C12" i="140"/>
  <c r="B12" i="140"/>
  <c r="B64" i="135"/>
  <c r="F62" i="135"/>
  <c r="D62" i="135"/>
  <c r="C62" i="135"/>
  <c r="B62" i="135"/>
  <c r="F61" i="135"/>
  <c r="E61" i="135"/>
  <c r="D61" i="135"/>
  <c r="C61" i="135"/>
  <c r="B61" i="135"/>
  <c r="F60" i="135"/>
  <c r="E60" i="135"/>
  <c r="D60" i="135"/>
  <c r="C60" i="135"/>
  <c r="B60" i="135"/>
  <c r="F59" i="135"/>
  <c r="E59" i="135"/>
  <c r="D59" i="135"/>
  <c r="C59" i="135"/>
  <c r="B59" i="135"/>
  <c r="F58" i="135"/>
  <c r="E58" i="135"/>
  <c r="D58" i="135"/>
  <c r="C58" i="135"/>
  <c r="B58" i="135"/>
  <c r="F57" i="135"/>
  <c r="E57" i="135"/>
  <c r="D57" i="135"/>
  <c r="C57" i="135"/>
  <c r="B57" i="135"/>
  <c r="F56" i="135"/>
  <c r="E56" i="135"/>
  <c r="D56" i="135"/>
  <c r="C56" i="135"/>
  <c r="B56" i="135"/>
  <c r="F55" i="135"/>
  <c r="E55" i="135"/>
  <c r="D55" i="135"/>
  <c r="C55" i="135"/>
  <c r="B55" i="135"/>
  <c r="F54" i="135"/>
  <c r="E54" i="135"/>
  <c r="D54" i="135"/>
  <c r="C54" i="135"/>
  <c r="B54" i="135"/>
  <c r="F53" i="135"/>
  <c r="E53" i="135"/>
  <c r="D53" i="135"/>
  <c r="C53" i="135"/>
  <c r="B53" i="135"/>
  <c r="F52" i="135"/>
  <c r="E52" i="135"/>
  <c r="D52" i="135"/>
  <c r="C52" i="135"/>
  <c r="B52" i="135"/>
  <c r="F51" i="135"/>
  <c r="E51" i="135"/>
  <c r="D51" i="135"/>
  <c r="C51" i="135"/>
  <c r="B51" i="135"/>
  <c r="F50" i="135"/>
  <c r="E50" i="135"/>
  <c r="D50" i="135"/>
  <c r="C50" i="135"/>
  <c r="B50" i="135"/>
  <c r="F49" i="135"/>
  <c r="E49" i="135"/>
  <c r="D49" i="135"/>
  <c r="C49" i="135"/>
  <c r="B49" i="135"/>
  <c r="F48" i="135"/>
  <c r="E48" i="135"/>
  <c r="D48" i="135"/>
  <c r="C48" i="135"/>
  <c r="B48" i="135"/>
  <c r="F47" i="135"/>
  <c r="E47" i="135"/>
  <c r="D47" i="135"/>
  <c r="C47" i="135"/>
  <c r="B47" i="135"/>
  <c r="B54" i="138"/>
  <c r="F52" i="138"/>
  <c r="E52" i="138"/>
  <c r="D52" i="138"/>
  <c r="C52" i="138"/>
  <c r="B52" i="138"/>
  <c r="F51" i="138"/>
  <c r="E51" i="138"/>
  <c r="D51" i="138"/>
  <c r="C51" i="138"/>
  <c r="B51" i="138"/>
  <c r="F50" i="138"/>
  <c r="E50" i="138"/>
  <c r="D50" i="138"/>
  <c r="C50" i="138"/>
  <c r="B50" i="138"/>
  <c r="F49" i="138"/>
  <c r="E49" i="138"/>
  <c r="D49" i="138"/>
  <c r="C49" i="138"/>
  <c r="B49" i="138"/>
  <c r="F48" i="138"/>
  <c r="E48" i="138"/>
  <c r="D48" i="138"/>
  <c r="C48" i="138"/>
  <c r="B48" i="138"/>
  <c r="F47" i="138"/>
  <c r="E47" i="138"/>
  <c r="D47" i="138"/>
  <c r="C47" i="138"/>
  <c r="B47" i="138"/>
  <c r="F46" i="138"/>
  <c r="E46" i="138"/>
  <c r="D46" i="138"/>
  <c r="C46" i="138"/>
  <c r="B46" i="138"/>
  <c r="F45" i="138"/>
  <c r="E45" i="138"/>
  <c r="D45" i="138"/>
  <c r="C45" i="138"/>
  <c r="B45" i="138"/>
  <c r="F44" i="138"/>
  <c r="E44" i="138"/>
  <c r="D44" i="138"/>
  <c r="C44" i="138"/>
  <c r="B44" i="138"/>
  <c r="B76" i="137"/>
  <c r="F74" i="137"/>
  <c r="E74" i="137"/>
  <c r="D74" i="137"/>
  <c r="C74" i="137"/>
  <c r="B74" i="137"/>
  <c r="F73" i="137"/>
  <c r="E73" i="137"/>
  <c r="D73" i="137"/>
  <c r="C73" i="137"/>
  <c r="B73" i="137"/>
  <c r="F72" i="137"/>
  <c r="E72" i="137"/>
  <c r="D72" i="137"/>
  <c r="C72" i="137"/>
  <c r="B72" i="137"/>
  <c r="F71" i="137"/>
  <c r="E71" i="137"/>
  <c r="D71" i="137"/>
  <c r="C71" i="137"/>
  <c r="B71" i="137"/>
  <c r="F70" i="137"/>
  <c r="E70" i="137"/>
  <c r="D70" i="137"/>
  <c r="C70" i="137"/>
  <c r="B70" i="137"/>
  <c r="F69" i="137"/>
  <c r="E69" i="137"/>
  <c r="D69" i="137"/>
  <c r="C69" i="137"/>
  <c r="B69" i="137"/>
  <c r="F68" i="137"/>
  <c r="E68" i="137"/>
  <c r="D68" i="137"/>
  <c r="C68" i="137"/>
  <c r="B68" i="137"/>
  <c r="F67" i="137"/>
  <c r="E67" i="137"/>
  <c r="D67" i="137"/>
  <c r="C67" i="137"/>
  <c r="B67" i="137"/>
  <c r="F66" i="137"/>
  <c r="E66" i="137"/>
  <c r="D66" i="137"/>
  <c r="C66" i="137"/>
  <c r="B66" i="137"/>
  <c r="F65" i="137"/>
  <c r="E65" i="137"/>
  <c r="D65" i="137"/>
  <c r="C65" i="137"/>
  <c r="B65" i="137"/>
  <c r="F64" i="137"/>
  <c r="E64" i="137"/>
  <c r="D64" i="137"/>
  <c r="C64" i="137"/>
  <c r="B64" i="137"/>
  <c r="F63" i="137"/>
  <c r="E63" i="137"/>
  <c r="D63" i="137"/>
  <c r="C63" i="137"/>
  <c r="B63" i="137"/>
  <c r="F62" i="137"/>
  <c r="E62" i="137"/>
  <c r="D62" i="137"/>
  <c r="C62" i="137"/>
  <c r="B62" i="137"/>
  <c r="F61" i="137"/>
  <c r="E61" i="137"/>
  <c r="D61" i="137"/>
  <c r="C61" i="137"/>
  <c r="B61" i="137"/>
  <c r="F60" i="137"/>
  <c r="E60" i="137"/>
  <c r="D60" i="137"/>
  <c r="C60" i="137"/>
  <c r="B60" i="137"/>
  <c r="F59" i="137"/>
  <c r="E59" i="137"/>
  <c r="D59" i="137"/>
  <c r="C59" i="137"/>
  <c r="B59" i="137"/>
  <c r="F58" i="137"/>
  <c r="E58" i="137"/>
  <c r="D58" i="137"/>
  <c r="C58" i="137"/>
  <c r="B58" i="137"/>
  <c r="F57" i="137"/>
  <c r="E57" i="137"/>
  <c r="D57" i="137"/>
  <c r="C57" i="137"/>
  <c r="B57" i="137"/>
  <c r="F56" i="137"/>
  <c r="E56" i="137"/>
  <c r="D56" i="137"/>
  <c r="C56" i="137"/>
  <c r="B56" i="137"/>
  <c r="F55" i="137"/>
  <c r="E55" i="137"/>
  <c r="D55" i="137"/>
  <c r="C55" i="137"/>
  <c r="B55" i="137"/>
  <c r="F54" i="137"/>
  <c r="E54" i="137"/>
  <c r="D54" i="137"/>
  <c r="C54" i="137"/>
  <c r="B54" i="137"/>
  <c r="F53" i="137"/>
  <c r="E53" i="137"/>
  <c r="D53" i="137"/>
  <c r="C53" i="137"/>
  <c r="B53" i="137"/>
  <c r="F52" i="137"/>
  <c r="E52" i="137"/>
  <c r="D52" i="137"/>
  <c r="C52" i="137"/>
  <c r="B52" i="137"/>
  <c r="F51" i="137"/>
  <c r="E51" i="137"/>
  <c r="D51" i="137"/>
  <c r="C51" i="137"/>
  <c r="B51" i="137"/>
  <c r="F50" i="137"/>
  <c r="E50" i="137"/>
  <c r="D50" i="137"/>
  <c r="C50" i="137"/>
  <c r="B50" i="137"/>
  <c r="F49" i="137"/>
  <c r="E49" i="137"/>
  <c r="D49" i="137"/>
  <c r="C49" i="137"/>
  <c r="B49" i="137"/>
  <c r="F48" i="137"/>
  <c r="E48" i="137"/>
  <c r="D48" i="137"/>
  <c r="C48" i="137"/>
  <c r="B48" i="137"/>
  <c r="F47" i="137"/>
  <c r="E47" i="137"/>
  <c r="D47" i="137"/>
  <c r="C47" i="137"/>
  <c r="B47" i="137"/>
  <c r="F46" i="137"/>
  <c r="E46" i="137"/>
  <c r="D46" i="137"/>
  <c r="C46" i="137"/>
  <c r="B46" i="137"/>
  <c r="F45" i="137"/>
  <c r="E45" i="137"/>
  <c r="D45" i="137"/>
  <c r="C45" i="137"/>
  <c r="B45" i="137"/>
  <c r="F44" i="137"/>
  <c r="E44" i="137"/>
  <c r="D44" i="137"/>
  <c r="C44" i="137"/>
  <c r="B44" i="137"/>
  <c r="F43" i="137"/>
  <c r="E43" i="137"/>
  <c r="D43" i="137"/>
  <c r="C43" i="137"/>
  <c r="B43" i="137"/>
  <c r="B77" i="133"/>
  <c r="F75" i="133"/>
  <c r="E75" i="133"/>
  <c r="D75" i="133"/>
  <c r="C75" i="133"/>
  <c r="B75" i="133"/>
  <c r="F72" i="133"/>
  <c r="E72" i="133"/>
  <c r="D72" i="133"/>
  <c r="C72" i="133"/>
  <c r="B72" i="133"/>
  <c r="F71" i="133"/>
  <c r="E71" i="133"/>
  <c r="D71" i="133"/>
  <c r="C71" i="133"/>
  <c r="B71" i="133"/>
  <c r="F70" i="133"/>
  <c r="E70" i="133"/>
  <c r="D70" i="133"/>
  <c r="C70" i="133"/>
  <c r="B70" i="133"/>
  <c r="F69" i="133"/>
  <c r="E69" i="133"/>
  <c r="D69" i="133"/>
  <c r="C69" i="133"/>
  <c r="B69" i="133"/>
  <c r="F67" i="133"/>
  <c r="E67" i="133"/>
  <c r="D67" i="133"/>
  <c r="C67" i="133"/>
  <c r="B67" i="133"/>
  <c r="F61" i="133"/>
  <c r="E61" i="133"/>
  <c r="D61" i="133"/>
  <c r="C61" i="133"/>
  <c r="B61" i="133"/>
  <c r="F60" i="133"/>
  <c r="E60" i="133"/>
  <c r="D60" i="133"/>
  <c r="C60" i="133"/>
  <c r="B60" i="133"/>
  <c r="F59" i="133"/>
  <c r="E59" i="133"/>
  <c r="D59" i="133"/>
  <c r="C59" i="133"/>
  <c r="B59" i="133"/>
  <c r="F56" i="133"/>
  <c r="E56" i="133"/>
  <c r="D56" i="133"/>
  <c r="C56" i="133"/>
  <c r="B56" i="133"/>
  <c r="F55" i="133"/>
  <c r="E55" i="133"/>
  <c r="D55" i="133"/>
  <c r="C55" i="133"/>
  <c r="C167" i="123"/>
  <c r="E165" i="123"/>
  <c r="E161" i="123"/>
  <c r="D11" i="131" s="1"/>
  <c r="J160" i="123"/>
  <c r="J159" i="123"/>
  <c r="G87" i="140" s="1"/>
  <c r="J158" i="123"/>
  <c r="J157" i="123"/>
  <c r="J156" i="123"/>
  <c r="J155" i="123"/>
  <c r="G83" i="140" s="1"/>
  <c r="J154" i="123"/>
  <c r="J153" i="123"/>
  <c r="G81" i="140" s="1"/>
  <c r="J152" i="123"/>
  <c r="J151" i="123"/>
  <c r="G79" i="140" s="1"/>
  <c r="J150" i="123"/>
  <c r="J149" i="123"/>
  <c r="G77" i="140" s="1"/>
  <c r="J148" i="123"/>
  <c r="J147" i="123"/>
  <c r="G75" i="140" s="1"/>
  <c r="J146" i="123"/>
  <c r="J145" i="123"/>
  <c r="J144" i="123"/>
  <c r="G72" i="140" s="1"/>
  <c r="J143" i="123"/>
  <c r="J142" i="123"/>
  <c r="J141" i="123"/>
  <c r="G69" i="140" s="1"/>
  <c r="J140" i="123"/>
  <c r="G68" i="140" s="1"/>
  <c r="J139" i="123"/>
  <c r="J138" i="123"/>
  <c r="J137" i="123"/>
  <c r="J136" i="123"/>
  <c r="G64" i="140" s="1"/>
  <c r="J135" i="123"/>
  <c r="J134" i="123"/>
  <c r="J133" i="123"/>
  <c r="G61" i="140" s="1"/>
  <c r="J132" i="123"/>
  <c r="G60" i="140" s="1"/>
  <c r="J131" i="123"/>
  <c r="G59" i="140" s="1"/>
  <c r="J130" i="123"/>
  <c r="J129" i="123"/>
  <c r="J128" i="123"/>
  <c r="G74" i="133" s="1"/>
  <c r="J127" i="123"/>
  <c r="J126" i="123"/>
  <c r="J125" i="123"/>
  <c r="G56" i="140" s="1"/>
  <c r="J124" i="123"/>
  <c r="G73" i="133" s="1"/>
  <c r="J123" i="123"/>
  <c r="J122" i="123"/>
  <c r="J121" i="123"/>
  <c r="J120" i="123"/>
  <c r="J119" i="123"/>
  <c r="G54" i="140" s="1"/>
  <c r="J118" i="123"/>
  <c r="G53" i="140" s="1"/>
  <c r="J117" i="123"/>
  <c r="G52" i="140" s="1"/>
  <c r="J116" i="123"/>
  <c r="J115" i="123"/>
  <c r="J114" i="123"/>
  <c r="J113" i="123"/>
  <c r="J112" i="123"/>
  <c r="J111" i="123"/>
  <c r="J110" i="123"/>
  <c r="G50" i="140" s="1"/>
  <c r="J109" i="123"/>
  <c r="G49" i="140" s="1"/>
  <c r="J108" i="123"/>
  <c r="G48" i="140" s="1"/>
  <c r="J107" i="123"/>
  <c r="J106" i="123"/>
  <c r="J105" i="123"/>
  <c r="J104" i="123"/>
  <c r="J103" i="123"/>
  <c r="J102" i="123"/>
  <c r="J101" i="123"/>
  <c r="G46" i="140" s="1"/>
  <c r="J100" i="123"/>
  <c r="G45" i="140" s="1"/>
  <c r="J99" i="123"/>
  <c r="G44" i="140" s="1"/>
  <c r="J98" i="123"/>
  <c r="J97" i="123"/>
  <c r="G42" i="140" s="1"/>
  <c r="J96" i="123"/>
  <c r="J95" i="123"/>
  <c r="J94" i="123"/>
  <c r="J93" i="123"/>
  <c r="J92" i="123"/>
  <c r="J91" i="123"/>
  <c r="J90" i="123"/>
  <c r="J89" i="123"/>
  <c r="J88" i="123"/>
  <c r="J87" i="123"/>
  <c r="G68" i="133" s="1"/>
  <c r="J86" i="123"/>
  <c r="J85" i="123"/>
  <c r="J84" i="123"/>
  <c r="J83" i="123"/>
  <c r="G38" i="140" s="1"/>
  <c r="J82" i="123"/>
  <c r="G37" i="140" s="1"/>
  <c r="J81" i="123"/>
  <c r="G36" i="140" s="1"/>
  <c r="J80" i="123"/>
  <c r="J79" i="123"/>
  <c r="J78" i="123"/>
  <c r="J77" i="123"/>
  <c r="J76" i="123"/>
  <c r="J75" i="123"/>
  <c r="J74" i="123"/>
  <c r="G33" i="140" s="1"/>
  <c r="J73" i="123"/>
  <c r="J72" i="123"/>
  <c r="J71" i="123"/>
  <c r="J70" i="123"/>
  <c r="J69" i="123"/>
  <c r="J68" i="123"/>
  <c r="J67" i="123"/>
  <c r="J66" i="123"/>
  <c r="J65" i="123"/>
  <c r="J64" i="123"/>
  <c r="G30" i="140" s="1"/>
  <c r="J63" i="123"/>
  <c r="J62" i="123"/>
  <c r="G29" i="140" s="1"/>
  <c r="J61" i="123"/>
  <c r="J60" i="123"/>
  <c r="J59" i="123"/>
  <c r="J58" i="123"/>
  <c r="J57" i="123"/>
  <c r="J56" i="123"/>
  <c r="J55" i="123"/>
  <c r="J54" i="123"/>
  <c r="J53" i="123"/>
  <c r="J52" i="123"/>
  <c r="J51" i="123"/>
  <c r="J50" i="123"/>
  <c r="G28" i="140" s="1"/>
  <c r="J49" i="123"/>
  <c r="J48" i="123"/>
  <c r="G26" i="140" s="1"/>
  <c r="J47" i="123"/>
  <c r="J46" i="123"/>
  <c r="G25" i="140" s="1"/>
  <c r="J45" i="123"/>
  <c r="G24" i="140" s="1"/>
  <c r="J44" i="123"/>
  <c r="J43" i="123"/>
  <c r="J42" i="123"/>
  <c r="J41" i="123"/>
  <c r="J40" i="123"/>
  <c r="J39" i="123"/>
  <c r="J38" i="123"/>
  <c r="J37" i="123"/>
  <c r="J36" i="123"/>
  <c r="J35" i="123"/>
  <c r="J34" i="123"/>
  <c r="J33" i="123"/>
  <c r="J32" i="123"/>
  <c r="J31" i="123"/>
  <c r="G58" i="133" s="1"/>
  <c r="J30" i="123"/>
  <c r="G23" i="140" s="1"/>
  <c r="J29" i="123"/>
  <c r="G22" i="140" s="1"/>
  <c r="J28" i="123"/>
  <c r="J27" i="123"/>
  <c r="G21" i="140" s="1"/>
  <c r="J26" i="123"/>
  <c r="J25" i="123"/>
  <c r="J24" i="123"/>
  <c r="J23" i="123"/>
  <c r="G17" i="140" s="1"/>
  <c r="J22" i="123"/>
  <c r="J21" i="123"/>
  <c r="G15" i="140" s="1"/>
  <c r="J20" i="123"/>
  <c r="G14" i="140" s="1"/>
  <c r="J19" i="123"/>
  <c r="G13" i="140" s="1"/>
  <c r="J18" i="123"/>
  <c r="G57" i="133" s="1"/>
  <c r="J17" i="123"/>
  <c r="J16" i="123"/>
  <c r="J15" i="123"/>
  <c r="J14" i="123"/>
  <c r="J13" i="123"/>
  <c r="J12" i="123"/>
  <c r="J11" i="123"/>
  <c r="J10" i="123"/>
  <c r="J9" i="123"/>
  <c r="B47" i="131"/>
  <c r="B15" i="131"/>
  <c r="Q11" i="131"/>
  <c r="P11" i="131"/>
  <c r="L11" i="131"/>
  <c r="R10" i="131"/>
  <c r="Q10" i="131"/>
  <c r="P10" i="131"/>
  <c r="J10" i="131"/>
  <c r="L10" i="131" s="1"/>
  <c r="R9" i="131"/>
  <c r="Q9" i="131"/>
  <c r="P9" i="131"/>
  <c r="J9" i="131"/>
  <c r="L9" i="131" s="1"/>
  <c r="Q8" i="131"/>
  <c r="P8" i="131"/>
  <c r="J8" i="131"/>
  <c r="G21" i="150" l="1"/>
  <c r="K21" i="150"/>
  <c r="O21" i="150"/>
  <c r="S21" i="150"/>
  <c r="W21" i="150"/>
  <c r="H21" i="150"/>
  <c r="L21" i="150"/>
  <c r="P21" i="150"/>
  <c r="T21" i="150"/>
  <c r="D21" i="150"/>
  <c r="E21" i="150"/>
  <c r="I21" i="150"/>
  <c r="M21" i="150"/>
  <c r="Q21" i="150"/>
  <c r="U21" i="150"/>
  <c r="F21" i="150"/>
  <c r="J21" i="150"/>
  <c r="N21" i="150"/>
  <c r="R21" i="150"/>
  <c r="V21" i="150"/>
  <c r="E45" i="131"/>
  <c r="C39" i="134"/>
  <c r="C40" i="134"/>
  <c r="C38" i="150"/>
  <c r="S12" i="123"/>
  <c r="S15" i="123"/>
  <c r="S39" i="123"/>
  <c r="S71" i="123"/>
  <c r="S91" i="123"/>
  <c r="S103" i="123"/>
  <c r="S69" i="123"/>
  <c r="S90" i="123"/>
  <c r="S94" i="123"/>
  <c r="S57" i="123"/>
  <c r="S112" i="123"/>
  <c r="S79" i="123"/>
  <c r="S77" i="123"/>
  <c r="S32" i="123"/>
  <c r="S36" i="123"/>
  <c r="S116" i="123"/>
  <c r="S120" i="123"/>
  <c r="S67" i="123"/>
  <c r="S37" i="123"/>
  <c r="S89" i="123"/>
  <c r="S10" i="123"/>
  <c r="S38" i="123"/>
  <c r="S106" i="123"/>
  <c r="E19" i="134"/>
  <c r="I19" i="134"/>
  <c r="M19" i="134"/>
  <c r="V19" i="134"/>
  <c r="F19" i="150"/>
  <c r="J19" i="150"/>
  <c r="N19" i="150"/>
  <c r="V19" i="150"/>
  <c r="F19" i="134"/>
  <c r="G19" i="150"/>
  <c r="O19" i="150"/>
  <c r="W19" i="150"/>
  <c r="K19" i="134"/>
  <c r="T19" i="134"/>
  <c r="H19" i="150"/>
  <c r="P19" i="150"/>
  <c r="D19" i="150"/>
  <c r="L19" i="134"/>
  <c r="P19" i="134"/>
  <c r="U19" i="134"/>
  <c r="E19" i="150"/>
  <c r="I19" i="150"/>
  <c r="M19" i="150"/>
  <c r="Q19" i="150"/>
  <c r="U19" i="150"/>
  <c r="J19" i="134"/>
  <c r="N19" i="134"/>
  <c r="W19" i="134"/>
  <c r="K19" i="150"/>
  <c r="G19" i="134"/>
  <c r="O19" i="134"/>
  <c r="D19" i="134"/>
  <c r="L19" i="150"/>
  <c r="T19" i="150"/>
  <c r="G20" i="150"/>
  <c r="K20" i="150"/>
  <c r="O20" i="150"/>
  <c r="W20" i="150"/>
  <c r="H20" i="150"/>
  <c r="L20" i="150"/>
  <c r="P20" i="150"/>
  <c r="D20" i="150"/>
  <c r="E20" i="150"/>
  <c r="I20" i="150"/>
  <c r="M20" i="150"/>
  <c r="Q20" i="150"/>
  <c r="F20" i="150"/>
  <c r="J20" i="150"/>
  <c r="N20" i="150"/>
  <c r="F14" i="134"/>
  <c r="K14" i="134"/>
  <c r="S14" i="134"/>
  <c r="W14" i="134"/>
  <c r="G14" i="150"/>
  <c r="K14" i="150"/>
  <c r="O14" i="150"/>
  <c r="S14" i="150"/>
  <c r="W14" i="150"/>
  <c r="H14" i="134"/>
  <c r="L14" i="134"/>
  <c r="P14" i="134"/>
  <c r="T14" i="134"/>
  <c r="D14" i="134"/>
  <c r="H14" i="150"/>
  <c r="L14" i="150"/>
  <c r="P14" i="150"/>
  <c r="T14" i="150"/>
  <c r="D14" i="150"/>
  <c r="I14" i="134"/>
  <c r="M14" i="134"/>
  <c r="Q14" i="134"/>
  <c r="U14" i="134"/>
  <c r="E14" i="150"/>
  <c r="I14" i="150"/>
  <c r="M14" i="150"/>
  <c r="Q14" i="150"/>
  <c r="U14" i="150"/>
  <c r="E14" i="134"/>
  <c r="J14" i="134"/>
  <c r="N14" i="134"/>
  <c r="R14" i="134"/>
  <c r="V14" i="134"/>
  <c r="F14" i="150"/>
  <c r="J14" i="150"/>
  <c r="N14" i="150"/>
  <c r="R14" i="150"/>
  <c r="V14" i="150"/>
  <c r="F15" i="150"/>
  <c r="L15" i="150"/>
  <c r="P15" i="150"/>
  <c r="T15" i="150"/>
  <c r="D15" i="150"/>
  <c r="I15" i="150"/>
  <c r="M15" i="150"/>
  <c r="Q15" i="150"/>
  <c r="U15" i="150"/>
  <c r="J15" i="150"/>
  <c r="N15" i="150"/>
  <c r="R15" i="150"/>
  <c r="V15" i="150"/>
  <c r="E15" i="150"/>
  <c r="K15" i="150"/>
  <c r="O15" i="150"/>
  <c r="S15" i="150"/>
  <c r="W15" i="150"/>
  <c r="G15" i="150"/>
  <c r="H15" i="150"/>
  <c r="H9" i="134"/>
  <c r="L9" i="134"/>
  <c r="P9" i="134"/>
  <c r="T9" i="134"/>
  <c r="D9" i="134"/>
  <c r="H9" i="150"/>
  <c r="P9" i="150"/>
  <c r="D9" i="150"/>
  <c r="I9" i="134"/>
  <c r="M9" i="134"/>
  <c r="Q9" i="134"/>
  <c r="U9" i="134"/>
  <c r="E9" i="150"/>
  <c r="I9" i="150"/>
  <c r="M9" i="150"/>
  <c r="Q9" i="150"/>
  <c r="U9" i="150"/>
  <c r="E9" i="134"/>
  <c r="J9" i="134"/>
  <c r="N9" i="134"/>
  <c r="R9" i="134"/>
  <c r="V9" i="134"/>
  <c r="F9" i="150"/>
  <c r="J9" i="150"/>
  <c r="N9" i="150"/>
  <c r="R9" i="150"/>
  <c r="V9" i="150"/>
  <c r="F9" i="134"/>
  <c r="O9" i="134"/>
  <c r="S9" i="134"/>
  <c r="W9" i="134"/>
  <c r="G9" i="150"/>
  <c r="K9" i="150"/>
  <c r="O9" i="150"/>
  <c r="S9" i="150"/>
  <c r="W9" i="150"/>
  <c r="L9" i="150"/>
  <c r="T9" i="150"/>
  <c r="E10" i="150"/>
  <c r="N10" i="150"/>
  <c r="R10" i="150"/>
  <c r="V10" i="150"/>
  <c r="J10" i="150"/>
  <c r="D10" i="150"/>
  <c r="M10" i="150"/>
  <c r="Q10" i="150"/>
  <c r="U10" i="150"/>
  <c r="F10" i="150"/>
  <c r="K10" i="150"/>
  <c r="O10" i="150"/>
  <c r="S10" i="150"/>
  <c r="W10" i="150"/>
  <c r="I10" i="150"/>
  <c r="L10" i="150"/>
  <c r="P10" i="150"/>
  <c r="T10" i="150"/>
  <c r="G10" i="150"/>
  <c r="H10" i="150"/>
  <c r="M4" i="134"/>
  <c r="Q4" i="134"/>
  <c r="U4" i="134"/>
  <c r="H4" i="150"/>
  <c r="L4" i="150"/>
  <c r="P4" i="150"/>
  <c r="T4" i="150"/>
  <c r="D4" i="150"/>
  <c r="F4" i="134"/>
  <c r="J4" i="134"/>
  <c r="N4" i="134"/>
  <c r="R4" i="134"/>
  <c r="V4" i="134"/>
  <c r="E4" i="150"/>
  <c r="I4" i="150"/>
  <c r="M4" i="150"/>
  <c r="Q4" i="150"/>
  <c r="U4" i="150"/>
  <c r="G4" i="134"/>
  <c r="K4" i="134"/>
  <c r="O4" i="134"/>
  <c r="S4" i="134"/>
  <c r="W4" i="134"/>
  <c r="F4" i="150"/>
  <c r="J4" i="150"/>
  <c r="N4" i="150"/>
  <c r="R4" i="150"/>
  <c r="V4" i="150"/>
  <c r="H4" i="134"/>
  <c r="L4" i="134"/>
  <c r="P4" i="134"/>
  <c r="T4" i="134"/>
  <c r="G4" i="150"/>
  <c r="K4" i="150"/>
  <c r="O4" i="150"/>
  <c r="S4" i="150"/>
  <c r="W4" i="150"/>
  <c r="K5" i="150"/>
  <c r="O5" i="150"/>
  <c r="S5" i="150"/>
  <c r="W5" i="150"/>
  <c r="H5" i="150"/>
  <c r="L5" i="150"/>
  <c r="P5" i="150"/>
  <c r="T5" i="150"/>
  <c r="D5" i="150"/>
  <c r="I5" i="150"/>
  <c r="M5" i="150"/>
  <c r="Q5" i="150"/>
  <c r="U5" i="150"/>
  <c r="J5" i="150"/>
  <c r="N5" i="150"/>
  <c r="R5" i="150"/>
  <c r="V5" i="150"/>
  <c r="L8" i="131"/>
  <c r="E5" i="150"/>
  <c r="F5" i="150"/>
  <c r="G5" i="150"/>
  <c r="E41" i="150"/>
  <c r="D41" i="150"/>
  <c r="E35" i="150"/>
  <c r="D35" i="150"/>
  <c r="M11" i="123"/>
  <c r="O11" i="123" s="1"/>
  <c r="G43" i="137"/>
  <c r="M15" i="123"/>
  <c r="H47" i="137" s="1"/>
  <c r="G47" i="137"/>
  <c r="M31" i="123"/>
  <c r="H58" i="133" s="1"/>
  <c r="M35" i="123"/>
  <c r="H50" i="135" s="1"/>
  <c r="G50" i="135"/>
  <c r="M43" i="123"/>
  <c r="H53" i="137" s="1"/>
  <c r="G53" i="137"/>
  <c r="M51" i="123"/>
  <c r="H62" i="133" s="1"/>
  <c r="G62" i="133"/>
  <c r="M59" i="123"/>
  <c r="H58" i="137" s="1"/>
  <c r="G58" i="137"/>
  <c r="M67" i="123"/>
  <c r="H55" i="135" s="1"/>
  <c r="G55" i="135"/>
  <c r="M9" i="123"/>
  <c r="H56" i="133" s="1"/>
  <c r="G56" i="133"/>
  <c r="M13" i="123"/>
  <c r="H45" i="137" s="1"/>
  <c r="G45" i="137"/>
  <c r="M17" i="123"/>
  <c r="I12" i="140" s="1"/>
  <c r="G12" i="140"/>
  <c r="M21" i="123"/>
  <c r="I15" i="140" s="1"/>
  <c r="M25" i="123"/>
  <c r="I19" i="140" s="1"/>
  <c r="G19" i="140"/>
  <c r="M33" i="123"/>
  <c r="H59" i="133" s="1"/>
  <c r="G59" i="133"/>
  <c r="M37" i="123"/>
  <c r="H52" i="135" s="1"/>
  <c r="G52" i="135"/>
  <c r="M41" i="123"/>
  <c r="H51" i="137" s="1"/>
  <c r="G51" i="137"/>
  <c r="M49" i="123"/>
  <c r="I27" i="140" s="1"/>
  <c r="G27" i="140"/>
  <c r="M53" i="123"/>
  <c r="H64" i="133" s="1"/>
  <c r="G64" i="133"/>
  <c r="M57" i="123"/>
  <c r="H56" i="137" s="1"/>
  <c r="G56" i="137"/>
  <c r="M61" i="123"/>
  <c r="H60" i="137" s="1"/>
  <c r="G60" i="137"/>
  <c r="M65" i="123"/>
  <c r="I31" i="140" s="1"/>
  <c r="G31" i="140"/>
  <c r="M69" i="123"/>
  <c r="H61" i="137" s="1"/>
  <c r="G61" i="137"/>
  <c r="M73" i="123"/>
  <c r="I32" i="140" s="1"/>
  <c r="G32" i="140"/>
  <c r="M77" i="123"/>
  <c r="H45" i="138" s="1"/>
  <c r="G45" i="138"/>
  <c r="M85" i="123"/>
  <c r="I40" i="140" s="1"/>
  <c r="G40" i="140"/>
  <c r="M89" i="123"/>
  <c r="H57" i="135" s="1"/>
  <c r="G57" i="135"/>
  <c r="M93" i="123"/>
  <c r="H68" i="137" s="1"/>
  <c r="G68" i="137"/>
  <c r="M105" i="123"/>
  <c r="I47" i="140" s="1"/>
  <c r="G47" i="140"/>
  <c r="M113" i="123"/>
  <c r="H49" i="138" s="1"/>
  <c r="G49" i="138"/>
  <c r="M121" i="123"/>
  <c r="H73" i="137" s="1"/>
  <c r="G73" i="137"/>
  <c r="M129" i="123"/>
  <c r="I57" i="140" s="1"/>
  <c r="G57" i="140"/>
  <c r="M137" i="123"/>
  <c r="I65" i="140" s="1"/>
  <c r="G65" i="140"/>
  <c r="M145" i="123"/>
  <c r="I73" i="140" s="1"/>
  <c r="G73" i="140"/>
  <c r="M157" i="123"/>
  <c r="I85" i="140" s="1"/>
  <c r="G85" i="140"/>
  <c r="M10" i="123"/>
  <c r="N10" i="123" s="1"/>
  <c r="G47" i="135"/>
  <c r="M14" i="123"/>
  <c r="H46" i="137" s="1"/>
  <c r="G46" i="137"/>
  <c r="M22" i="123"/>
  <c r="I16" i="140" s="1"/>
  <c r="G16" i="140"/>
  <c r="M26" i="123"/>
  <c r="I20" i="140" s="1"/>
  <c r="G20" i="140"/>
  <c r="M34" i="123"/>
  <c r="H60" i="133" s="1"/>
  <c r="G60" i="133"/>
  <c r="M38" i="123"/>
  <c r="H53" i="135" s="1"/>
  <c r="G53" i="135"/>
  <c r="M42" i="123"/>
  <c r="H52" i="137" s="1"/>
  <c r="G52" i="137"/>
  <c r="M54" i="123"/>
  <c r="H65" i="133" s="1"/>
  <c r="G65" i="133"/>
  <c r="M58" i="123"/>
  <c r="H57" i="137" s="1"/>
  <c r="G57" i="137"/>
  <c r="M66" i="123"/>
  <c r="H67" i="133" s="1"/>
  <c r="G67" i="133"/>
  <c r="M70" i="123"/>
  <c r="H62" i="137" s="1"/>
  <c r="G62" i="137"/>
  <c r="M78" i="123"/>
  <c r="H46" i="138" s="1"/>
  <c r="G46" i="138"/>
  <c r="M86" i="123"/>
  <c r="I41" i="140" s="1"/>
  <c r="G41" i="140"/>
  <c r="M90" i="123"/>
  <c r="H65" i="137" s="1"/>
  <c r="G65" i="137"/>
  <c r="M94" i="123"/>
  <c r="H69" i="137" s="1"/>
  <c r="G69" i="137"/>
  <c r="M98" i="123"/>
  <c r="I43" i="140" s="1"/>
  <c r="G43" i="140"/>
  <c r="M102" i="123"/>
  <c r="H71" i="133" s="1"/>
  <c r="G71" i="133"/>
  <c r="M106" i="123"/>
  <c r="H59" i="135" s="1"/>
  <c r="G59" i="135"/>
  <c r="M114" i="123"/>
  <c r="H50" i="138" s="1"/>
  <c r="G50" i="138"/>
  <c r="M122" i="123"/>
  <c r="H74" i="137" s="1"/>
  <c r="G74" i="137"/>
  <c r="M126" i="123"/>
  <c r="H51" i="138" s="1"/>
  <c r="G51" i="138"/>
  <c r="M130" i="123"/>
  <c r="I58" i="140" s="1"/>
  <c r="G58" i="140"/>
  <c r="M134" i="123"/>
  <c r="I62" i="140" s="1"/>
  <c r="G62" i="140"/>
  <c r="M138" i="123"/>
  <c r="I66" i="140" s="1"/>
  <c r="G66" i="140"/>
  <c r="M142" i="123"/>
  <c r="I70" i="140" s="1"/>
  <c r="G70" i="140"/>
  <c r="M146" i="123"/>
  <c r="I74" i="140" s="1"/>
  <c r="G74" i="140"/>
  <c r="M150" i="123"/>
  <c r="I78" i="140" s="1"/>
  <c r="G78" i="140"/>
  <c r="M154" i="123"/>
  <c r="I82" i="140" s="1"/>
  <c r="G82" i="140"/>
  <c r="M158" i="123"/>
  <c r="I86" i="140" s="1"/>
  <c r="G86" i="140"/>
  <c r="M39" i="123"/>
  <c r="H49" i="137" s="1"/>
  <c r="G49" i="137"/>
  <c r="M47" i="123"/>
  <c r="H61" i="133" s="1"/>
  <c r="G61" i="133"/>
  <c r="M55" i="123"/>
  <c r="H54" i="135" s="1"/>
  <c r="G54" i="135"/>
  <c r="M63" i="123"/>
  <c r="H66" i="133" s="1"/>
  <c r="G66" i="133"/>
  <c r="M71" i="123"/>
  <c r="H63" i="137" s="1"/>
  <c r="G63" i="137"/>
  <c r="M75" i="123"/>
  <c r="I34" i="140" s="1"/>
  <c r="G34" i="140"/>
  <c r="M79" i="123"/>
  <c r="H47" i="138" s="1"/>
  <c r="G47" i="138"/>
  <c r="M87" i="123"/>
  <c r="M91" i="123"/>
  <c r="H66" i="137" s="1"/>
  <c r="G66" i="137"/>
  <c r="M95" i="123"/>
  <c r="H70" i="133" s="1"/>
  <c r="G70" i="133"/>
  <c r="M103" i="123"/>
  <c r="H70" i="137" s="1"/>
  <c r="G70" i="137"/>
  <c r="M107" i="123"/>
  <c r="H72" i="137" s="1"/>
  <c r="G72" i="137"/>
  <c r="M111" i="123"/>
  <c r="I51" i="140" s="1"/>
  <c r="G51" i="140"/>
  <c r="M115" i="123"/>
  <c r="H72" i="133" s="1"/>
  <c r="G72" i="133"/>
  <c r="M123" i="123"/>
  <c r="I55" i="140" s="1"/>
  <c r="G55" i="140"/>
  <c r="M127" i="123"/>
  <c r="H52" i="138" s="1"/>
  <c r="G52" i="138"/>
  <c r="M135" i="123"/>
  <c r="I63" i="140" s="1"/>
  <c r="G63" i="140"/>
  <c r="M139" i="123"/>
  <c r="I67" i="140" s="1"/>
  <c r="G67" i="140"/>
  <c r="M143" i="123"/>
  <c r="I71" i="140" s="1"/>
  <c r="G71" i="140"/>
  <c r="M12" i="123"/>
  <c r="H44" i="137" s="1"/>
  <c r="G44" i="137"/>
  <c r="M16" i="123"/>
  <c r="H48" i="137" s="1"/>
  <c r="G48" i="137"/>
  <c r="M24" i="123"/>
  <c r="I18" i="140" s="1"/>
  <c r="G18" i="140"/>
  <c r="M28" i="123"/>
  <c r="H48" i="135" s="1"/>
  <c r="G48" i="135"/>
  <c r="M32" i="123"/>
  <c r="H49" i="135" s="1"/>
  <c r="G49" i="135"/>
  <c r="M36" i="123"/>
  <c r="H51" i="135" s="1"/>
  <c r="G51" i="135"/>
  <c r="M40" i="123"/>
  <c r="H50" i="137" s="1"/>
  <c r="G50" i="137"/>
  <c r="M44" i="123"/>
  <c r="H54" i="137" s="1"/>
  <c r="G54" i="137"/>
  <c r="M52" i="123"/>
  <c r="H63" i="133" s="1"/>
  <c r="G63" i="133"/>
  <c r="M56" i="123"/>
  <c r="H55" i="137" s="1"/>
  <c r="G55" i="137"/>
  <c r="M60" i="123"/>
  <c r="H59" i="137" s="1"/>
  <c r="G59" i="137"/>
  <c r="M68" i="123"/>
  <c r="H56" i="135" s="1"/>
  <c r="G56" i="135"/>
  <c r="M72" i="123"/>
  <c r="H64" i="137" s="1"/>
  <c r="G64" i="137"/>
  <c r="M76" i="123"/>
  <c r="N76" i="123" s="1"/>
  <c r="G44" i="138"/>
  <c r="M80" i="123"/>
  <c r="I35" i="140" s="1"/>
  <c r="G35" i="140"/>
  <c r="M84" i="123"/>
  <c r="I39" i="140" s="1"/>
  <c r="G39" i="140"/>
  <c r="M88" i="123"/>
  <c r="H69" i="133" s="1"/>
  <c r="G69" i="133"/>
  <c r="M92" i="123"/>
  <c r="H67" i="137" s="1"/>
  <c r="G67" i="137"/>
  <c r="M96" i="123"/>
  <c r="H58" i="135" s="1"/>
  <c r="G58" i="135"/>
  <c r="M104" i="123"/>
  <c r="H71" i="137" s="1"/>
  <c r="G71" i="137"/>
  <c r="M112" i="123"/>
  <c r="H48" i="138" s="1"/>
  <c r="G48" i="138"/>
  <c r="M116" i="123"/>
  <c r="H60" i="135" s="1"/>
  <c r="G60" i="135"/>
  <c r="M120" i="123"/>
  <c r="H61" i="135" s="1"/>
  <c r="G61" i="135"/>
  <c r="M128" i="123"/>
  <c r="G75" i="133"/>
  <c r="M148" i="123"/>
  <c r="I76" i="140" s="1"/>
  <c r="G76" i="140"/>
  <c r="M152" i="123"/>
  <c r="I80" i="140" s="1"/>
  <c r="G80" i="140"/>
  <c r="M156" i="123"/>
  <c r="I84" i="140" s="1"/>
  <c r="G84" i="140"/>
  <c r="M160" i="123"/>
  <c r="I88" i="140" s="1"/>
  <c r="G88" i="140"/>
  <c r="H5" i="134"/>
  <c r="L5" i="134"/>
  <c r="P5" i="134"/>
  <c r="T5" i="134"/>
  <c r="N5" i="134"/>
  <c r="S5" i="134"/>
  <c r="O5" i="134"/>
  <c r="U5" i="134"/>
  <c r="Q5" i="134"/>
  <c r="V5" i="134"/>
  <c r="M5" i="134"/>
  <c r="R5" i="134"/>
  <c r="W5" i="134"/>
  <c r="P10" i="134"/>
  <c r="T10" i="134"/>
  <c r="D10" i="134"/>
  <c r="M10" i="134"/>
  <c r="R10" i="134"/>
  <c r="W10" i="134"/>
  <c r="I10" i="134"/>
  <c r="N10" i="134"/>
  <c r="S10" i="134"/>
  <c r="E10" i="134"/>
  <c r="J10" i="134"/>
  <c r="O10" i="134"/>
  <c r="U10" i="134"/>
  <c r="F10" i="134"/>
  <c r="Q10" i="134"/>
  <c r="V10" i="134"/>
  <c r="K15" i="134"/>
  <c r="S15" i="134"/>
  <c r="W15" i="134"/>
  <c r="F15" i="134"/>
  <c r="L15" i="134"/>
  <c r="Q15" i="134"/>
  <c r="V15" i="134"/>
  <c r="M15" i="134"/>
  <c r="R15" i="134"/>
  <c r="D15" i="134"/>
  <c r="I15" i="134"/>
  <c r="N15" i="134"/>
  <c r="T15" i="134"/>
  <c r="E15" i="134"/>
  <c r="J15" i="134"/>
  <c r="U15" i="134"/>
  <c r="L20" i="134"/>
  <c r="P20" i="134"/>
  <c r="D20" i="134"/>
  <c r="E20" i="134"/>
  <c r="O20" i="134"/>
  <c r="F20" i="134"/>
  <c r="G20" i="134"/>
  <c r="M20" i="134"/>
  <c r="W20" i="134"/>
  <c r="N20" i="134"/>
  <c r="D27" i="134"/>
  <c r="T52" i="123"/>
  <c r="T88" i="123"/>
  <c r="T128" i="123"/>
  <c r="T47" i="123"/>
  <c r="T34" i="123"/>
  <c r="T54" i="123"/>
  <c r="T66" i="123"/>
  <c r="T102" i="123"/>
  <c r="T21" i="123"/>
  <c r="T16" i="123"/>
  <c r="T40" i="123"/>
  <c r="T44" i="123"/>
  <c r="T56" i="123"/>
  <c r="T60" i="123"/>
  <c r="T72" i="123"/>
  <c r="T92" i="123"/>
  <c r="T104" i="123"/>
  <c r="T11" i="123"/>
  <c r="T59" i="123"/>
  <c r="T14" i="123"/>
  <c r="T42" i="123"/>
  <c r="T58" i="123"/>
  <c r="T70" i="123"/>
  <c r="T122" i="123"/>
  <c r="T13" i="123"/>
  <c r="T41" i="123"/>
  <c r="T61" i="123"/>
  <c r="T93" i="123"/>
  <c r="T121" i="123"/>
  <c r="T76" i="123"/>
  <c r="T127" i="123"/>
  <c r="T78" i="123"/>
  <c r="T114" i="123"/>
  <c r="T126" i="123"/>
  <c r="T113" i="123"/>
  <c r="T28" i="123"/>
  <c r="T68" i="123"/>
  <c r="T96" i="123"/>
  <c r="T35" i="123"/>
  <c r="T55" i="123"/>
  <c r="T161" i="123"/>
  <c r="M29" i="123"/>
  <c r="I22" i="140" s="1"/>
  <c r="M45" i="123"/>
  <c r="I24" i="140" s="1"/>
  <c r="M81" i="123"/>
  <c r="I36" i="140" s="1"/>
  <c r="M97" i="123"/>
  <c r="I42" i="140" s="1"/>
  <c r="M101" i="123"/>
  <c r="I46" i="140" s="1"/>
  <c r="M109" i="123"/>
  <c r="I49" i="140" s="1"/>
  <c r="M117" i="123"/>
  <c r="I52" i="140" s="1"/>
  <c r="M125" i="123"/>
  <c r="I56" i="140" s="1"/>
  <c r="M133" i="123"/>
  <c r="I61" i="140" s="1"/>
  <c r="M141" i="123"/>
  <c r="I69" i="140" s="1"/>
  <c r="M149" i="123"/>
  <c r="I77" i="140" s="1"/>
  <c r="M153" i="123"/>
  <c r="I81" i="140" s="1"/>
  <c r="H161" i="123"/>
  <c r="S19" i="150" s="1"/>
  <c r="I161" i="123"/>
  <c r="R20" i="150" s="1"/>
  <c r="M20" i="123"/>
  <c r="I14" i="140" s="1"/>
  <c r="M48" i="123"/>
  <c r="I26" i="140" s="1"/>
  <c r="M64" i="123"/>
  <c r="I30" i="140" s="1"/>
  <c r="M100" i="123"/>
  <c r="I45" i="140" s="1"/>
  <c r="M108" i="123"/>
  <c r="I48" i="140" s="1"/>
  <c r="M124" i="123"/>
  <c r="H73" i="133" s="1"/>
  <c r="M132" i="123"/>
  <c r="I60" i="140" s="1"/>
  <c r="M136" i="123"/>
  <c r="I64" i="140" s="1"/>
  <c r="M140" i="123"/>
  <c r="I68" i="140" s="1"/>
  <c r="M144" i="123"/>
  <c r="I72" i="140" s="1"/>
  <c r="M19" i="123"/>
  <c r="I13" i="140" s="1"/>
  <c r="M23" i="123"/>
  <c r="I17" i="140" s="1"/>
  <c r="M27" i="123"/>
  <c r="I21" i="140" s="1"/>
  <c r="M83" i="123"/>
  <c r="I38" i="140" s="1"/>
  <c r="M99" i="123"/>
  <c r="I44" i="140" s="1"/>
  <c r="M119" i="123"/>
  <c r="I54" i="140" s="1"/>
  <c r="M131" i="123"/>
  <c r="I59" i="140" s="1"/>
  <c r="M147" i="123"/>
  <c r="I75" i="140" s="1"/>
  <c r="M151" i="123"/>
  <c r="I79" i="140" s="1"/>
  <c r="M155" i="123"/>
  <c r="I83" i="140" s="1"/>
  <c r="M159" i="123"/>
  <c r="I87" i="140" s="1"/>
  <c r="M18" i="123"/>
  <c r="H57" i="133" s="1"/>
  <c r="M30" i="123"/>
  <c r="I23" i="140" s="1"/>
  <c r="M46" i="123"/>
  <c r="I25" i="140" s="1"/>
  <c r="M50" i="123"/>
  <c r="I28" i="140" s="1"/>
  <c r="M62" i="123"/>
  <c r="I29" i="140" s="1"/>
  <c r="M74" i="123"/>
  <c r="I33" i="140" s="1"/>
  <c r="M82" i="123"/>
  <c r="I37" i="140" s="1"/>
  <c r="M110" i="123"/>
  <c r="I50" i="140" s="1"/>
  <c r="M118" i="123"/>
  <c r="I53" i="140" s="1"/>
  <c r="T43" i="123"/>
  <c r="J165" i="123"/>
  <c r="E62" i="135"/>
  <c r="J161" i="123"/>
  <c r="G45" i="131" l="1"/>
  <c r="F45" i="131" s="1"/>
  <c r="R19" i="150"/>
  <c r="R22" i="150" s="1"/>
  <c r="S162" i="123"/>
  <c r="H75" i="133"/>
  <c r="H74" i="133"/>
  <c r="H68" i="133"/>
  <c r="P22" i="150"/>
  <c r="P40" i="150" s="1"/>
  <c r="M12" i="150"/>
  <c r="M32" i="150" s="1"/>
  <c r="N22" i="123"/>
  <c r="S52" i="123"/>
  <c r="S88" i="123"/>
  <c r="S128" i="123"/>
  <c r="S8" i="123"/>
  <c r="S47" i="123"/>
  <c r="S51" i="123"/>
  <c r="S63" i="123"/>
  <c r="S95" i="123"/>
  <c r="S115" i="123"/>
  <c r="S9" i="123"/>
  <c r="S21" i="123"/>
  <c r="S33" i="123"/>
  <c r="S34" i="123"/>
  <c r="S54" i="123"/>
  <c r="S66" i="123"/>
  <c r="S102" i="123"/>
  <c r="S53" i="123"/>
  <c r="Q12" i="150"/>
  <c r="H22" i="150"/>
  <c r="L22" i="150"/>
  <c r="I22" i="150"/>
  <c r="Q22" i="150"/>
  <c r="D22" i="150"/>
  <c r="N22" i="150"/>
  <c r="M22" i="150"/>
  <c r="W22" i="150"/>
  <c r="J22" i="150"/>
  <c r="O22" i="150"/>
  <c r="F22" i="150"/>
  <c r="K22" i="150"/>
  <c r="E22" i="150"/>
  <c r="G22" i="150"/>
  <c r="N17" i="150"/>
  <c r="N39" i="150" s="1"/>
  <c r="I17" i="150"/>
  <c r="E17" i="150"/>
  <c r="L17" i="150"/>
  <c r="S17" i="150"/>
  <c r="U17" i="150"/>
  <c r="J17" i="150"/>
  <c r="D17" i="150"/>
  <c r="O17" i="150"/>
  <c r="Q17" i="150"/>
  <c r="V17" i="150"/>
  <c r="F17" i="150"/>
  <c r="T17" i="150"/>
  <c r="K17" i="150"/>
  <c r="M17" i="150"/>
  <c r="R17" i="150"/>
  <c r="P17" i="150"/>
  <c r="W17" i="150"/>
  <c r="D12" i="150"/>
  <c r="T12" i="150"/>
  <c r="T38" i="150" s="1"/>
  <c r="O12" i="150"/>
  <c r="V12" i="150"/>
  <c r="F12" i="150"/>
  <c r="P12" i="150"/>
  <c r="O127" i="123"/>
  <c r="L12" i="150"/>
  <c r="K12" i="150"/>
  <c r="R12" i="150"/>
  <c r="I12" i="150"/>
  <c r="S12" i="150"/>
  <c r="J12" i="150"/>
  <c r="O158" i="123"/>
  <c r="W12" i="150"/>
  <c r="N12" i="150"/>
  <c r="U12" i="150"/>
  <c r="E12" i="150"/>
  <c r="N113" i="123"/>
  <c r="N126" i="123"/>
  <c r="O37" i="123"/>
  <c r="O31" i="123"/>
  <c r="E17" i="134"/>
  <c r="E39" i="134" s="1"/>
  <c r="O121" i="123"/>
  <c r="N38" i="123"/>
  <c r="N67" i="123"/>
  <c r="O89" i="123"/>
  <c r="D7" i="150"/>
  <c r="D37" i="150" s="1"/>
  <c r="N49" i="123"/>
  <c r="O59" i="123"/>
  <c r="N75" i="123"/>
  <c r="N135" i="123"/>
  <c r="N35" i="123"/>
  <c r="O148" i="123"/>
  <c r="O98" i="123"/>
  <c r="O52" i="123"/>
  <c r="N16" i="123"/>
  <c r="O157" i="123"/>
  <c r="V25" i="134" s="1"/>
  <c r="V26" i="134" s="1"/>
  <c r="N73" i="123"/>
  <c r="N17" i="123"/>
  <c r="N107" i="123"/>
  <c r="O114" i="123"/>
  <c r="O80" i="123"/>
  <c r="N142" i="123"/>
  <c r="O10" i="123"/>
  <c r="N34" i="123"/>
  <c r="N57" i="123"/>
  <c r="O17" i="123"/>
  <c r="O87" i="123"/>
  <c r="N11" i="123"/>
  <c r="O86" i="123"/>
  <c r="O134" i="123"/>
  <c r="N95" i="123"/>
  <c r="R7" i="150"/>
  <c r="I7" i="150"/>
  <c r="L7" i="150"/>
  <c r="O7" i="150"/>
  <c r="N145" i="123"/>
  <c r="N85" i="123"/>
  <c r="N37" i="123"/>
  <c r="O139" i="123"/>
  <c r="N103" i="123"/>
  <c r="O43" i="123"/>
  <c r="O154" i="123"/>
  <c r="O58" i="123"/>
  <c r="O60" i="123"/>
  <c r="N15" i="123"/>
  <c r="N70" i="123"/>
  <c r="N66" i="123"/>
  <c r="N7" i="150"/>
  <c r="U7" i="150"/>
  <c r="H7" i="150"/>
  <c r="K7" i="150"/>
  <c r="V7" i="150"/>
  <c r="M7" i="150"/>
  <c r="P7" i="150"/>
  <c r="S7" i="150"/>
  <c r="J7" i="150"/>
  <c r="Q7" i="150"/>
  <c r="T7" i="150"/>
  <c r="W7" i="150"/>
  <c r="O79" i="123"/>
  <c r="O104" i="123"/>
  <c r="O69" i="123"/>
  <c r="O41" i="123"/>
  <c r="O67" i="123"/>
  <c r="O35" i="123"/>
  <c r="O146" i="123"/>
  <c r="N26" i="123"/>
  <c r="N116" i="123"/>
  <c r="O90" i="123"/>
  <c r="I9" i="131"/>
  <c r="O53" i="123"/>
  <c r="N137" i="123"/>
  <c r="N105" i="123"/>
  <c r="O77" i="123"/>
  <c r="N61" i="123"/>
  <c r="N13" i="123"/>
  <c r="O111" i="123"/>
  <c r="O130" i="123"/>
  <c r="O78" i="123"/>
  <c r="N14" i="123"/>
  <c r="O44" i="123"/>
  <c r="O39" i="123"/>
  <c r="O33" i="123"/>
  <c r="O137" i="123"/>
  <c r="N89" i="123"/>
  <c r="N77" i="123"/>
  <c r="O71" i="123"/>
  <c r="O156" i="123"/>
  <c r="N84" i="123"/>
  <c r="N32" i="123"/>
  <c r="O122" i="123"/>
  <c r="N51" i="123"/>
  <c r="O21" i="123"/>
  <c r="N120" i="123"/>
  <c r="N12" i="123"/>
  <c r="N88" i="123"/>
  <c r="N115" i="123"/>
  <c r="O47" i="123"/>
  <c r="N129" i="123"/>
  <c r="N93" i="123"/>
  <c r="N65" i="123"/>
  <c r="O49" i="123"/>
  <c r="N25" i="123"/>
  <c r="O143" i="123"/>
  <c r="O123" i="123"/>
  <c r="N91" i="123"/>
  <c r="N43" i="123"/>
  <c r="O138" i="123"/>
  <c r="N94" i="123"/>
  <c r="N152" i="123"/>
  <c r="N112" i="123"/>
  <c r="O76" i="123"/>
  <c r="N24" i="123"/>
  <c r="O55" i="123"/>
  <c r="O150" i="123"/>
  <c r="O106" i="123"/>
  <c r="O42" i="123"/>
  <c r="O102" i="123"/>
  <c r="O63" i="123"/>
  <c r="N54" i="123"/>
  <c r="N9" i="123"/>
  <c r="N121" i="123"/>
  <c r="O105" i="123"/>
  <c r="N69" i="123"/>
  <c r="O61" i="123"/>
  <c r="N41" i="123"/>
  <c r="O13" i="123"/>
  <c r="O135" i="123"/>
  <c r="N123" i="123"/>
  <c r="O103" i="123"/>
  <c r="N71" i="123"/>
  <c r="N154" i="123"/>
  <c r="N138" i="123"/>
  <c r="N78" i="123"/>
  <c r="O26" i="123"/>
  <c r="N160" i="123"/>
  <c r="O152" i="123"/>
  <c r="O116" i="123"/>
  <c r="N96" i="123"/>
  <c r="O84" i="123"/>
  <c r="O72" i="123"/>
  <c r="N56" i="123"/>
  <c r="N40" i="123"/>
  <c r="N28" i="123"/>
  <c r="O16" i="123"/>
  <c r="N55" i="123"/>
  <c r="O15" i="123"/>
  <c r="N106" i="123"/>
  <c r="N90" i="123"/>
  <c r="N128" i="123"/>
  <c r="O66" i="123"/>
  <c r="N53" i="123"/>
  <c r="N21" i="123"/>
  <c r="O128" i="123"/>
  <c r="O160" i="123"/>
  <c r="N92" i="123"/>
  <c r="N68" i="123"/>
  <c r="O56" i="123"/>
  <c r="N36" i="123"/>
  <c r="O28" i="123"/>
  <c r="N157" i="123"/>
  <c r="N143" i="123"/>
  <c r="N111" i="123"/>
  <c r="O91" i="123"/>
  <c r="N79" i="123"/>
  <c r="O14" i="134" s="1"/>
  <c r="N146" i="123"/>
  <c r="N130" i="123"/>
  <c r="O38" i="123"/>
  <c r="O14" i="123"/>
  <c r="N104" i="123"/>
  <c r="O92" i="123"/>
  <c r="O68" i="123"/>
  <c r="N44" i="123"/>
  <c r="O36" i="123"/>
  <c r="N39" i="123"/>
  <c r="N122" i="123"/>
  <c r="N98" i="123"/>
  <c r="O51" i="123"/>
  <c r="O54" i="123"/>
  <c r="N33" i="123"/>
  <c r="V20" i="150"/>
  <c r="T20" i="150"/>
  <c r="U20" i="150"/>
  <c r="S20" i="150"/>
  <c r="E11" i="131"/>
  <c r="F11" i="131" s="1"/>
  <c r="O145" i="123"/>
  <c r="O129" i="123"/>
  <c r="O113" i="123"/>
  <c r="O93" i="123"/>
  <c r="O85" i="123"/>
  <c r="O73" i="123"/>
  <c r="O65" i="123"/>
  <c r="O57" i="123"/>
  <c r="O25" i="123"/>
  <c r="N139" i="123"/>
  <c r="N127" i="123"/>
  <c r="N87" i="123"/>
  <c r="N59" i="123"/>
  <c r="N158" i="123"/>
  <c r="N114" i="123"/>
  <c r="N86" i="123"/>
  <c r="N58" i="123"/>
  <c r="O120" i="123"/>
  <c r="O112" i="123"/>
  <c r="O96" i="123"/>
  <c r="O40" i="123"/>
  <c r="O32" i="123"/>
  <c r="O24" i="123"/>
  <c r="O12" i="123"/>
  <c r="N31" i="123"/>
  <c r="N150" i="123"/>
  <c r="N134" i="123"/>
  <c r="N42" i="123"/>
  <c r="O88" i="123"/>
  <c r="N102" i="123"/>
  <c r="O115" i="123"/>
  <c r="N63" i="123"/>
  <c r="N47" i="123"/>
  <c r="O9" i="123"/>
  <c r="W22" i="134"/>
  <c r="W34" i="134" s="1"/>
  <c r="O107" i="123"/>
  <c r="O126" i="123"/>
  <c r="O94" i="123"/>
  <c r="N156" i="123"/>
  <c r="N148" i="123"/>
  <c r="N80" i="123"/>
  <c r="N72" i="123"/>
  <c r="N60" i="123"/>
  <c r="O75" i="123"/>
  <c r="O142" i="123"/>
  <c r="O70" i="123"/>
  <c r="O22" i="123"/>
  <c r="I10" i="131"/>
  <c r="N52" i="123"/>
  <c r="O34" i="123"/>
  <c r="O95" i="123"/>
  <c r="H44" i="138"/>
  <c r="X15" i="150"/>
  <c r="H47" i="135"/>
  <c r="H43" i="137"/>
  <c r="M161" i="123"/>
  <c r="G62" i="135"/>
  <c r="S127" i="123"/>
  <c r="D41" i="134"/>
  <c r="D35" i="134"/>
  <c r="E22" i="134"/>
  <c r="W17" i="134"/>
  <c r="W33" i="134" s="1"/>
  <c r="D17" i="134"/>
  <c r="S122" i="123"/>
  <c r="E27" i="134"/>
  <c r="D22" i="134"/>
  <c r="L7" i="134"/>
  <c r="N7" i="134"/>
  <c r="W7" i="134"/>
  <c r="P7" i="134"/>
  <c r="S7" i="134"/>
  <c r="U7" i="134"/>
  <c r="Q7" i="134"/>
  <c r="T7" i="134"/>
  <c r="V7" i="134"/>
  <c r="R7" i="134"/>
  <c r="O7" i="134"/>
  <c r="M7" i="134"/>
  <c r="T120" i="123"/>
  <c r="S60" i="123"/>
  <c r="T8" i="123"/>
  <c r="T95" i="123"/>
  <c r="N141" i="123"/>
  <c r="O141" i="123"/>
  <c r="O109" i="123"/>
  <c r="N109" i="123"/>
  <c r="O45" i="123"/>
  <c r="N45" i="123"/>
  <c r="N82" i="123"/>
  <c r="O82" i="123"/>
  <c r="N46" i="123"/>
  <c r="O46" i="123"/>
  <c r="N155" i="123"/>
  <c r="O155" i="123"/>
  <c r="N119" i="123"/>
  <c r="O119" i="123"/>
  <c r="N23" i="123"/>
  <c r="O23" i="123"/>
  <c r="O136" i="123"/>
  <c r="N136" i="123"/>
  <c r="O100" i="123"/>
  <c r="N100" i="123"/>
  <c r="O149" i="123"/>
  <c r="N149" i="123"/>
  <c r="O133" i="123"/>
  <c r="N133" i="123"/>
  <c r="O117" i="123"/>
  <c r="N117" i="123"/>
  <c r="O101" i="123"/>
  <c r="N101" i="123"/>
  <c r="O81" i="123"/>
  <c r="N81" i="123"/>
  <c r="O29" i="123"/>
  <c r="N29" i="123"/>
  <c r="O153" i="123"/>
  <c r="N153" i="123"/>
  <c r="O125" i="123"/>
  <c r="N125" i="123"/>
  <c r="O97" i="123"/>
  <c r="N97" i="123"/>
  <c r="N118" i="123"/>
  <c r="O118" i="123"/>
  <c r="N62" i="123"/>
  <c r="O62" i="123"/>
  <c r="N18" i="123"/>
  <c r="O18" i="123"/>
  <c r="O147" i="123"/>
  <c r="N147" i="123"/>
  <c r="O83" i="123"/>
  <c r="N83" i="123"/>
  <c r="O144" i="123"/>
  <c r="N144" i="123"/>
  <c r="O124" i="123"/>
  <c r="N124" i="123"/>
  <c r="O48" i="123"/>
  <c r="N48" i="123"/>
  <c r="N110" i="123"/>
  <c r="O110" i="123"/>
  <c r="N74" i="123"/>
  <c r="O74" i="123"/>
  <c r="N50" i="123"/>
  <c r="O50" i="123"/>
  <c r="N30" i="123"/>
  <c r="O30" i="123"/>
  <c r="N159" i="123"/>
  <c r="O159" i="123"/>
  <c r="N151" i="123"/>
  <c r="O151" i="123"/>
  <c r="O131" i="123"/>
  <c r="N131" i="123"/>
  <c r="O99" i="123"/>
  <c r="N99" i="123"/>
  <c r="O27" i="123"/>
  <c r="N27" i="123"/>
  <c r="O19" i="123"/>
  <c r="N19" i="123"/>
  <c r="O140" i="123"/>
  <c r="N140" i="123"/>
  <c r="O132" i="123"/>
  <c r="N132" i="123"/>
  <c r="O108" i="123"/>
  <c r="N108" i="123"/>
  <c r="O64" i="123"/>
  <c r="N64" i="123"/>
  <c r="O20" i="123"/>
  <c r="N20" i="123"/>
  <c r="S17" i="134"/>
  <c r="S33" i="134" s="1"/>
  <c r="M8" i="123"/>
  <c r="M7" i="123"/>
  <c r="S11" i="123"/>
  <c r="T94" i="123"/>
  <c r="S28" i="123"/>
  <c r="T33" i="123"/>
  <c r="S40" i="123"/>
  <c r="T115" i="123"/>
  <c r="S59" i="123"/>
  <c r="T107" i="123"/>
  <c r="S121" i="123"/>
  <c r="T39" i="123"/>
  <c r="T51" i="123"/>
  <c r="S70" i="123"/>
  <c r="S58" i="123"/>
  <c r="T57" i="123"/>
  <c r="D13" i="131"/>
  <c r="S14" i="123"/>
  <c r="S93" i="123"/>
  <c r="S44" i="123"/>
  <c r="S72" i="123"/>
  <c r="S43" i="123"/>
  <c r="S104" i="123"/>
  <c r="T63" i="123"/>
  <c r="S13" i="123"/>
  <c r="T69" i="123"/>
  <c r="T103" i="123"/>
  <c r="S56" i="123"/>
  <c r="T91" i="123"/>
  <c r="S92" i="123"/>
  <c r="T9" i="123"/>
  <c r="T15" i="123"/>
  <c r="S55" i="123"/>
  <c r="S16" i="123"/>
  <c r="S42" i="123"/>
  <c r="T10" i="123"/>
  <c r="S41" i="123"/>
  <c r="T12" i="123"/>
  <c r="T53" i="123"/>
  <c r="S61" i="123"/>
  <c r="T71" i="123"/>
  <c r="T90" i="123"/>
  <c r="T36" i="123"/>
  <c r="P22" i="134"/>
  <c r="P40" i="134" s="1"/>
  <c r="L22" i="134"/>
  <c r="L34" i="134" s="1"/>
  <c r="O22" i="134"/>
  <c r="O34" i="134" s="1"/>
  <c r="T89" i="123"/>
  <c r="S113" i="123"/>
  <c r="S76" i="123"/>
  <c r="M17" i="134"/>
  <c r="M39" i="134" s="1"/>
  <c r="T37" i="123"/>
  <c r="S161" i="123"/>
  <c r="J17" i="134"/>
  <c r="J39" i="134" s="1"/>
  <c r="R17" i="134"/>
  <c r="R33" i="134" s="1"/>
  <c r="U17" i="134"/>
  <c r="U33" i="134" s="1"/>
  <c r="T38" i="123"/>
  <c r="N17" i="134"/>
  <c r="N39" i="134" s="1"/>
  <c r="Q17" i="134"/>
  <c r="Q33" i="134" s="1"/>
  <c r="T17" i="134"/>
  <c r="T33" i="134" s="1"/>
  <c r="V17" i="134"/>
  <c r="V39" i="134" s="1"/>
  <c r="F17" i="134"/>
  <c r="L17" i="134"/>
  <c r="L39" i="134" s="1"/>
  <c r="I17" i="134"/>
  <c r="I33" i="134" s="1"/>
  <c r="S96" i="123"/>
  <c r="T79" i="123"/>
  <c r="T112" i="123"/>
  <c r="S78" i="123"/>
  <c r="T106" i="123"/>
  <c r="T116" i="123"/>
  <c r="S68" i="123"/>
  <c r="S35" i="123"/>
  <c r="T67" i="123"/>
  <c r="N22" i="134"/>
  <c r="N34" i="134" s="1"/>
  <c r="F22" i="134"/>
  <c r="K17" i="134"/>
  <c r="K33" i="134" s="1"/>
  <c r="T32" i="123"/>
  <c r="S114" i="123"/>
  <c r="G22" i="134"/>
  <c r="S126" i="123"/>
  <c r="T77" i="123"/>
  <c r="M22" i="134"/>
  <c r="P34" i="150" l="1"/>
  <c r="M38" i="150"/>
  <c r="N33" i="150"/>
  <c r="Q38" i="150"/>
  <c r="Q32" i="150"/>
  <c r="D31" i="150"/>
  <c r="H40" i="150"/>
  <c r="H34" i="150"/>
  <c r="L40" i="150"/>
  <c r="L34" i="150"/>
  <c r="E34" i="150"/>
  <c r="E40" i="150"/>
  <c r="J40" i="150"/>
  <c r="J34" i="150"/>
  <c r="D34" i="150"/>
  <c r="D40" i="150"/>
  <c r="I34" i="150"/>
  <c r="I40" i="150"/>
  <c r="H20" i="134"/>
  <c r="K20" i="134"/>
  <c r="J20" i="134"/>
  <c r="K34" i="150"/>
  <c r="K40" i="150"/>
  <c r="W34" i="150"/>
  <c r="W40" i="150"/>
  <c r="Q40" i="150"/>
  <c r="Q34" i="150"/>
  <c r="O161" i="123"/>
  <c r="I20" i="134" s="1"/>
  <c r="R34" i="150"/>
  <c r="R40" i="150"/>
  <c r="F34" i="150"/>
  <c r="F40" i="150"/>
  <c r="M34" i="150"/>
  <c r="M40" i="150"/>
  <c r="G34" i="150"/>
  <c r="G40" i="150"/>
  <c r="O34" i="150"/>
  <c r="O40" i="150"/>
  <c r="N34" i="150"/>
  <c r="N40" i="150"/>
  <c r="E33" i="134"/>
  <c r="M39" i="150"/>
  <c r="M33" i="150"/>
  <c r="F33" i="150"/>
  <c r="F39" i="150"/>
  <c r="O39" i="150"/>
  <c r="O33" i="150"/>
  <c r="S33" i="150"/>
  <c r="S39" i="150"/>
  <c r="P15" i="134"/>
  <c r="O15" i="134"/>
  <c r="O17" i="134" s="1"/>
  <c r="W33" i="150"/>
  <c r="W39" i="150"/>
  <c r="V33" i="150"/>
  <c r="V39" i="150"/>
  <c r="D39" i="150"/>
  <c r="D33" i="150"/>
  <c r="L33" i="150"/>
  <c r="L39" i="150"/>
  <c r="P39" i="150"/>
  <c r="P33" i="150"/>
  <c r="K33" i="150"/>
  <c r="K39" i="150"/>
  <c r="Q39" i="150"/>
  <c r="Q33" i="150"/>
  <c r="J33" i="150"/>
  <c r="J39" i="150"/>
  <c r="E33" i="150"/>
  <c r="E39" i="150"/>
  <c r="R39" i="150"/>
  <c r="R33" i="150"/>
  <c r="T39" i="150"/>
  <c r="T33" i="150"/>
  <c r="U39" i="150"/>
  <c r="U33" i="150"/>
  <c r="I33" i="150"/>
  <c r="I39" i="150"/>
  <c r="T32" i="150"/>
  <c r="D32" i="150"/>
  <c r="D38" i="150"/>
  <c r="D36" i="150" s="1"/>
  <c r="U38" i="150"/>
  <c r="U32" i="150"/>
  <c r="J38" i="150"/>
  <c r="J32" i="150"/>
  <c r="K38" i="150"/>
  <c r="K32" i="150"/>
  <c r="K10" i="134"/>
  <c r="L10" i="134"/>
  <c r="N38" i="150"/>
  <c r="N32" i="150"/>
  <c r="S32" i="150"/>
  <c r="S38" i="150"/>
  <c r="L38" i="150"/>
  <c r="L32" i="150"/>
  <c r="F38" i="150"/>
  <c r="F32" i="150"/>
  <c r="L25" i="134"/>
  <c r="L26" i="134" s="1"/>
  <c r="W38" i="150"/>
  <c r="W32" i="150"/>
  <c r="I32" i="150"/>
  <c r="I38" i="150"/>
  <c r="V32" i="150"/>
  <c r="V38" i="150"/>
  <c r="P32" i="150"/>
  <c r="P38" i="150"/>
  <c r="K9" i="134"/>
  <c r="E32" i="150"/>
  <c r="E38" i="150"/>
  <c r="R32" i="150"/>
  <c r="R38" i="150"/>
  <c r="O38" i="150"/>
  <c r="O32" i="150"/>
  <c r="D28" i="150"/>
  <c r="M25" i="134"/>
  <c r="M26" i="134" s="1"/>
  <c r="G14" i="134"/>
  <c r="X14" i="134" s="1"/>
  <c r="G9" i="134"/>
  <c r="H25" i="134"/>
  <c r="H26" i="134" s="1"/>
  <c r="Q31" i="150"/>
  <c r="Q37" i="150"/>
  <c r="M31" i="150"/>
  <c r="M37" i="150"/>
  <c r="U31" i="150"/>
  <c r="U37" i="150"/>
  <c r="I31" i="150"/>
  <c r="I37" i="150"/>
  <c r="J31" i="150"/>
  <c r="J37" i="150"/>
  <c r="V31" i="150"/>
  <c r="V37" i="150"/>
  <c r="N31" i="150"/>
  <c r="N37" i="150"/>
  <c r="W31" i="150"/>
  <c r="W37" i="150"/>
  <c r="S31" i="150"/>
  <c r="S37" i="150"/>
  <c r="K31" i="150"/>
  <c r="K37" i="150"/>
  <c r="O31" i="150"/>
  <c r="O37" i="150"/>
  <c r="T31" i="150"/>
  <c r="T37" i="150"/>
  <c r="P31" i="150"/>
  <c r="P37" i="150"/>
  <c r="H31" i="150"/>
  <c r="H37" i="150"/>
  <c r="L31" i="150"/>
  <c r="L37" i="150"/>
  <c r="R31" i="150"/>
  <c r="R37" i="150"/>
  <c r="O25" i="134"/>
  <c r="O26" i="134" s="1"/>
  <c r="K25" i="134"/>
  <c r="K26" i="134" s="1"/>
  <c r="H15" i="134"/>
  <c r="F25" i="134"/>
  <c r="F26" i="134" s="1"/>
  <c r="P25" i="134"/>
  <c r="P26" i="134" s="1"/>
  <c r="H10" i="134"/>
  <c r="W40" i="134"/>
  <c r="G15" i="134"/>
  <c r="G10" i="134"/>
  <c r="H62" i="135"/>
  <c r="S25" i="134"/>
  <c r="S26" i="134" s="1"/>
  <c r="N161" i="123"/>
  <c r="S19" i="134" s="1"/>
  <c r="I11" i="131"/>
  <c r="N27" i="150"/>
  <c r="X19" i="150"/>
  <c r="G27" i="150"/>
  <c r="W27" i="150"/>
  <c r="Q25" i="134"/>
  <c r="Q26" i="134" s="1"/>
  <c r="T25" i="134"/>
  <c r="T26" i="134" s="1"/>
  <c r="R25" i="134"/>
  <c r="R26" i="134" s="1"/>
  <c r="U25" i="134"/>
  <c r="U26" i="134" s="1"/>
  <c r="S22" i="150"/>
  <c r="F27" i="150"/>
  <c r="P27" i="150"/>
  <c r="L27" i="150"/>
  <c r="G12" i="150"/>
  <c r="X9" i="150"/>
  <c r="H27" i="150"/>
  <c r="X10" i="150"/>
  <c r="V27" i="150"/>
  <c r="I27" i="150"/>
  <c r="J25" i="134"/>
  <c r="J26" i="134" s="1"/>
  <c r="G17" i="150"/>
  <c r="X14" i="150"/>
  <c r="X16" i="150" s="1"/>
  <c r="G25" i="134"/>
  <c r="G26" i="134" s="1"/>
  <c r="W25" i="134"/>
  <c r="W26" i="134" s="1"/>
  <c r="W39" i="134"/>
  <c r="N25" i="134"/>
  <c r="N26" i="134" s="1"/>
  <c r="D40" i="134"/>
  <c r="D34" i="134"/>
  <c r="E41" i="134"/>
  <c r="E35" i="134"/>
  <c r="I25" i="134"/>
  <c r="I26" i="134" s="1"/>
  <c r="D39" i="134"/>
  <c r="D33" i="134"/>
  <c r="E40" i="134"/>
  <c r="E34" i="134"/>
  <c r="L31" i="134"/>
  <c r="R37" i="134"/>
  <c r="W37" i="134"/>
  <c r="O37" i="134"/>
  <c r="F40" i="134"/>
  <c r="F33" i="134"/>
  <c r="N37" i="134"/>
  <c r="R31" i="134"/>
  <c r="R12" i="134"/>
  <c r="P31" i="134"/>
  <c r="P12" i="134"/>
  <c r="O31" i="134"/>
  <c r="O12" i="134"/>
  <c r="O38" i="134" s="1"/>
  <c r="W31" i="134"/>
  <c r="W12" i="134"/>
  <c r="W38" i="134" s="1"/>
  <c r="V37" i="134"/>
  <c r="V12" i="134"/>
  <c r="U37" i="134"/>
  <c r="U12" i="134"/>
  <c r="N31" i="134"/>
  <c r="N12" i="134"/>
  <c r="J12" i="134"/>
  <c r="T37" i="134"/>
  <c r="T12" i="134"/>
  <c r="I12" i="134"/>
  <c r="Q31" i="134"/>
  <c r="Q12" i="134"/>
  <c r="M37" i="134"/>
  <c r="M12" i="134"/>
  <c r="S31" i="134"/>
  <c r="S12" i="134"/>
  <c r="S32" i="134" s="1"/>
  <c r="L37" i="134"/>
  <c r="T31" i="134"/>
  <c r="P37" i="134"/>
  <c r="Q37" i="134"/>
  <c r="U31" i="134"/>
  <c r="S37" i="134"/>
  <c r="V31" i="134"/>
  <c r="M31" i="134"/>
  <c r="H55" i="133"/>
  <c r="I8" i="131"/>
  <c r="O8" i="123"/>
  <c r="N8" i="123"/>
  <c r="D4" i="134" s="1"/>
  <c r="S39" i="134"/>
  <c r="F13" i="131"/>
  <c r="E13" i="131" s="1"/>
  <c r="J33" i="134"/>
  <c r="P34" i="134"/>
  <c r="T39" i="134"/>
  <c r="L40" i="134"/>
  <c r="O40" i="134"/>
  <c r="U39" i="134"/>
  <c r="M33" i="134"/>
  <c r="R39" i="134"/>
  <c r="Q39" i="134"/>
  <c r="F39" i="134"/>
  <c r="I39" i="134"/>
  <c r="N33" i="134"/>
  <c r="V33" i="134"/>
  <c r="L33" i="134"/>
  <c r="N40" i="134"/>
  <c r="K39" i="134"/>
  <c r="F34" i="134"/>
  <c r="G34" i="134"/>
  <c r="G40" i="134"/>
  <c r="M34" i="134"/>
  <c r="M40" i="134"/>
  <c r="R19" i="134" l="1"/>
  <c r="Q20" i="134"/>
  <c r="Q19" i="134"/>
  <c r="R20" i="134"/>
  <c r="S20" i="134"/>
  <c r="V20" i="134"/>
  <c r="U20" i="134"/>
  <c r="T20" i="134"/>
  <c r="K12" i="134"/>
  <c r="K32" i="134" s="1"/>
  <c r="H19" i="134"/>
  <c r="H22" i="134" s="1"/>
  <c r="O33" i="134"/>
  <c r="O39" i="134"/>
  <c r="D30" i="150"/>
  <c r="X9" i="134"/>
  <c r="L12" i="134"/>
  <c r="E4" i="134"/>
  <c r="I4" i="134"/>
  <c r="X10" i="134"/>
  <c r="D5" i="134"/>
  <c r="J5" i="134"/>
  <c r="K5" i="134"/>
  <c r="I5" i="134"/>
  <c r="X15" i="134"/>
  <c r="G17" i="134"/>
  <c r="G39" i="134" s="1"/>
  <c r="H17" i="150"/>
  <c r="X17" i="150" s="1"/>
  <c r="X11" i="150"/>
  <c r="H12" i="150"/>
  <c r="H32" i="150" s="1"/>
  <c r="G35" i="150"/>
  <c r="G41" i="150"/>
  <c r="W35" i="150"/>
  <c r="W30" i="150" s="1"/>
  <c r="W41" i="150"/>
  <c r="W36" i="150" s="1"/>
  <c r="W28" i="150"/>
  <c r="I35" i="150"/>
  <c r="I30" i="150" s="1"/>
  <c r="I41" i="150"/>
  <c r="I36" i="150" s="1"/>
  <c r="I28" i="150"/>
  <c r="H41" i="150"/>
  <c r="H35" i="150"/>
  <c r="V35" i="150"/>
  <c r="V41" i="150"/>
  <c r="L41" i="150"/>
  <c r="L36" i="150" s="1"/>
  <c r="L35" i="150"/>
  <c r="L30" i="150" s="1"/>
  <c r="L28" i="150"/>
  <c r="S34" i="150"/>
  <c r="S40" i="150"/>
  <c r="N35" i="150"/>
  <c r="N30" i="150" s="1"/>
  <c r="N41" i="150"/>
  <c r="N36" i="150" s="1"/>
  <c r="N28" i="150"/>
  <c r="G33" i="150"/>
  <c r="G39" i="150"/>
  <c r="J27" i="150"/>
  <c r="O27" i="150"/>
  <c r="K27" i="150"/>
  <c r="R27" i="150"/>
  <c r="X20" i="150"/>
  <c r="V22" i="150" s="1"/>
  <c r="P41" i="150"/>
  <c r="P36" i="150" s="1"/>
  <c r="P35" i="150"/>
  <c r="P30" i="150" s="1"/>
  <c r="P28" i="150"/>
  <c r="F35" i="150"/>
  <c r="F41" i="150"/>
  <c r="Q27" i="150"/>
  <c r="M27" i="150"/>
  <c r="G32" i="150"/>
  <c r="G38" i="150"/>
  <c r="S27" i="150"/>
  <c r="X25" i="150"/>
  <c r="U27" i="150"/>
  <c r="T27" i="150"/>
  <c r="E5" i="134"/>
  <c r="F5" i="134"/>
  <c r="G5" i="134"/>
  <c r="O32" i="134"/>
  <c r="I32" i="134"/>
  <c r="I38" i="134"/>
  <c r="J38" i="134"/>
  <c r="J32" i="134"/>
  <c r="W32" i="134"/>
  <c r="Q38" i="134"/>
  <c r="Q32" i="134"/>
  <c r="N32" i="134"/>
  <c r="N38" i="134"/>
  <c r="V38" i="134"/>
  <c r="V32" i="134"/>
  <c r="R32" i="134"/>
  <c r="R38" i="134"/>
  <c r="M38" i="134"/>
  <c r="M32" i="134"/>
  <c r="U32" i="134"/>
  <c r="U38" i="134"/>
  <c r="P38" i="134"/>
  <c r="P32" i="134"/>
  <c r="S38" i="134"/>
  <c r="T32" i="134"/>
  <c r="T38" i="134"/>
  <c r="Q22" i="134" l="1"/>
  <c r="Q40" i="134" s="1"/>
  <c r="X20" i="134"/>
  <c r="K38" i="134"/>
  <c r="X4" i="134"/>
  <c r="X19" i="134"/>
  <c r="H34" i="134"/>
  <c r="H40" i="134"/>
  <c r="P17" i="134"/>
  <c r="L32" i="134"/>
  <c r="L38" i="134"/>
  <c r="X11" i="134"/>
  <c r="G33" i="134"/>
  <c r="I7" i="134"/>
  <c r="K7" i="134"/>
  <c r="H17" i="134"/>
  <c r="H38" i="150"/>
  <c r="X38" i="150" s="1"/>
  <c r="H33" i="150"/>
  <c r="H30" i="150" s="1"/>
  <c r="H39" i="150"/>
  <c r="X12" i="150"/>
  <c r="H28" i="150"/>
  <c r="X32" i="150"/>
  <c r="U35" i="150"/>
  <c r="U41" i="150"/>
  <c r="S35" i="150"/>
  <c r="S30" i="150" s="1"/>
  <c r="S41" i="150"/>
  <c r="S36" i="150" s="1"/>
  <c r="S28" i="150"/>
  <c r="V40" i="150"/>
  <c r="V36" i="150" s="1"/>
  <c r="V34" i="150"/>
  <c r="V30" i="150" s="1"/>
  <c r="V28" i="150"/>
  <c r="K35" i="150"/>
  <c r="K30" i="150" s="1"/>
  <c r="K41" i="150"/>
  <c r="K36" i="150" s="1"/>
  <c r="K28" i="150"/>
  <c r="X27" i="150"/>
  <c r="T41" i="150"/>
  <c r="T35" i="150"/>
  <c r="O35" i="150"/>
  <c r="O30" i="150" s="1"/>
  <c r="O41" i="150"/>
  <c r="O36" i="150" s="1"/>
  <c r="O28" i="150"/>
  <c r="R35" i="150"/>
  <c r="R30" i="150" s="1"/>
  <c r="R41" i="150"/>
  <c r="R36" i="150" s="1"/>
  <c r="R28" i="150"/>
  <c r="X26" i="150"/>
  <c r="X5" i="150"/>
  <c r="E7" i="150"/>
  <c r="X4" i="150"/>
  <c r="Q35" i="150"/>
  <c r="Q30" i="150" s="1"/>
  <c r="Q41" i="150"/>
  <c r="Q36" i="150" s="1"/>
  <c r="Q28" i="150"/>
  <c r="U22" i="150"/>
  <c r="M35" i="150"/>
  <c r="M30" i="150" s="1"/>
  <c r="M41" i="150"/>
  <c r="M36" i="150" s="1"/>
  <c r="M28" i="150"/>
  <c r="J35" i="150"/>
  <c r="J30" i="150" s="1"/>
  <c r="J41" i="150"/>
  <c r="J36" i="150" s="1"/>
  <c r="J28" i="150"/>
  <c r="E12" i="134"/>
  <c r="X5" i="134"/>
  <c r="J7" i="134" s="1"/>
  <c r="D7" i="134"/>
  <c r="Q34" i="134" l="1"/>
  <c r="S22" i="134"/>
  <c r="R22" i="134"/>
  <c r="T22" i="134"/>
  <c r="T34" i="134" s="1"/>
  <c r="V22" i="134"/>
  <c r="V40" i="134" s="1"/>
  <c r="U22" i="134"/>
  <c r="U40" i="134" s="1"/>
  <c r="K22" i="134"/>
  <c r="J22" i="134"/>
  <c r="I22" i="134"/>
  <c r="P33" i="134"/>
  <c r="P39" i="134"/>
  <c r="X16" i="134"/>
  <c r="E7" i="134"/>
  <c r="E37" i="134" s="1"/>
  <c r="J37" i="134"/>
  <c r="J31" i="134"/>
  <c r="K37" i="134"/>
  <c r="K31" i="134"/>
  <c r="I37" i="134"/>
  <c r="I31" i="134"/>
  <c r="X17" i="134"/>
  <c r="H39" i="134"/>
  <c r="H33" i="134"/>
  <c r="H36" i="150"/>
  <c r="X39" i="150"/>
  <c r="X33" i="150"/>
  <c r="X21" i="150"/>
  <c r="T22" i="150"/>
  <c r="X41" i="150"/>
  <c r="U34" i="150"/>
  <c r="U30" i="150" s="1"/>
  <c r="U40" i="150"/>
  <c r="U36" i="150" s="1"/>
  <c r="U28" i="150"/>
  <c r="G7" i="150"/>
  <c r="X35" i="150"/>
  <c r="E28" i="150"/>
  <c r="E31" i="150"/>
  <c r="E30" i="150" s="1"/>
  <c r="E37" i="150"/>
  <c r="E36" i="150" s="1"/>
  <c r="D37" i="134"/>
  <c r="D31" i="134"/>
  <c r="E32" i="134"/>
  <c r="E38" i="134"/>
  <c r="F7" i="134"/>
  <c r="D12" i="134"/>
  <c r="H7" i="134"/>
  <c r="S40" i="134" l="1"/>
  <c r="S34" i="134"/>
  <c r="R40" i="134"/>
  <c r="R34" i="134"/>
  <c r="T40" i="134"/>
  <c r="V34" i="134"/>
  <c r="X33" i="134"/>
  <c r="U34" i="134"/>
  <c r="I40" i="134"/>
  <c r="I34" i="134"/>
  <c r="X22" i="134"/>
  <c r="J40" i="134"/>
  <c r="J34" i="134"/>
  <c r="X21" i="134"/>
  <c r="K34" i="134"/>
  <c r="K40" i="134"/>
  <c r="X39" i="134"/>
  <c r="E28" i="134"/>
  <c r="E31" i="134"/>
  <c r="E30" i="134" s="1"/>
  <c r="E36" i="134"/>
  <c r="G31" i="150"/>
  <c r="G30" i="150" s="1"/>
  <c r="G37" i="150"/>
  <c r="G36" i="150" s="1"/>
  <c r="G28" i="150"/>
  <c r="T34" i="150"/>
  <c r="T40" i="150"/>
  <c r="T28" i="150"/>
  <c r="X22" i="150"/>
  <c r="X6" i="150"/>
  <c r="F7" i="150"/>
  <c r="D28" i="134"/>
  <c r="D32" i="134"/>
  <c r="D30" i="134" s="1"/>
  <c r="D38" i="134"/>
  <c r="D36" i="134" s="1"/>
  <c r="F37" i="134"/>
  <c r="F31" i="134"/>
  <c r="H37" i="134"/>
  <c r="H31" i="134"/>
  <c r="G7" i="134"/>
  <c r="X6" i="134"/>
  <c r="S87" i="123"/>
  <c r="T87" i="123"/>
  <c r="T160" i="123"/>
  <c r="S160" i="123"/>
  <c r="S23" i="123"/>
  <c r="T23" i="123"/>
  <c r="S75" i="123"/>
  <c r="T75" i="123"/>
  <c r="S101" i="123"/>
  <c r="T101" i="123"/>
  <c r="S109" i="123"/>
  <c r="T109" i="123"/>
  <c r="T156" i="123"/>
  <c r="S156" i="123"/>
  <c r="S49" i="123"/>
  <c r="T49" i="123"/>
  <c r="S17" i="123"/>
  <c r="T17" i="123"/>
  <c r="T134" i="123"/>
  <c r="S134" i="123"/>
  <c r="T151" i="123"/>
  <c r="S151" i="123"/>
  <c r="T98" i="123"/>
  <c r="S98" i="123"/>
  <c r="S152" i="123"/>
  <c r="T152" i="123"/>
  <c r="S158" i="123"/>
  <c r="T158" i="123"/>
  <c r="T140" i="123"/>
  <c r="S140" i="123"/>
  <c r="T132" i="123"/>
  <c r="S132" i="123"/>
  <c r="T80" i="123"/>
  <c r="S80" i="123"/>
  <c r="S105" i="123"/>
  <c r="T105" i="123"/>
  <c r="S153" i="123"/>
  <c r="T153" i="123"/>
  <c r="T24" i="123"/>
  <c r="S24" i="123"/>
  <c r="S62" i="123"/>
  <c r="T62" i="123"/>
  <c r="S149" i="123"/>
  <c r="T149" i="123"/>
  <c r="T64" i="123"/>
  <c r="S64" i="123"/>
  <c r="S25" i="123"/>
  <c r="T25" i="123"/>
  <c r="T99" i="123"/>
  <c r="S99" i="123"/>
  <c r="S157" i="123"/>
  <c r="T157" i="123"/>
  <c r="S65" i="123"/>
  <c r="T65" i="123"/>
  <c r="T18" i="123"/>
  <c r="S18" i="123"/>
  <c r="S125" i="123"/>
  <c r="T125" i="123"/>
  <c r="S22" i="123"/>
  <c r="T22" i="123"/>
  <c r="S83" i="123"/>
  <c r="T83" i="123"/>
  <c r="S129" i="123"/>
  <c r="T129" i="123"/>
  <c r="T19" i="123"/>
  <c r="S19" i="123"/>
  <c r="S73" i="123"/>
  <c r="T73" i="123"/>
  <c r="T131" i="123"/>
  <c r="S131" i="123"/>
  <c r="T31" i="123"/>
  <c r="S31" i="123"/>
  <c r="S123" i="123"/>
  <c r="T123" i="123"/>
  <c r="S141" i="123"/>
  <c r="T141" i="123"/>
  <c r="T48" i="123"/>
  <c r="S48" i="123"/>
  <c r="S133" i="123"/>
  <c r="T133" i="123"/>
  <c r="S26" i="123"/>
  <c r="T26" i="123"/>
  <c r="S46" i="123"/>
  <c r="T46" i="123"/>
  <c r="S74" i="123"/>
  <c r="T74" i="123"/>
  <c r="S82" i="123"/>
  <c r="T82" i="123"/>
  <c r="S86" i="123"/>
  <c r="T86" i="123"/>
  <c r="S110" i="123"/>
  <c r="T110" i="123"/>
  <c r="T119" i="123"/>
  <c r="S119" i="123"/>
  <c r="T135" i="123"/>
  <c r="S135" i="123"/>
  <c r="T139" i="123"/>
  <c r="S139" i="123"/>
  <c r="T143" i="123"/>
  <c r="S143" i="123"/>
  <c r="T147" i="123"/>
  <c r="S147" i="123"/>
  <c r="T155" i="123"/>
  <c r="S155" i="123"/>
  <c r="T159" i="123"/>
  <c r="S159" i="123"/>
  <c r="T150" i="123"/>
  <c r="S150" i="123"/>
  <c r="T20" i="123"/>
  <c r="S20" i="123"/>
  <c r="T130" i="123"/>
  <c r="S130" i="123"/>
  <c r="T124" i="123"/>
  <c r="S124" i="123"/>
  <c r="S29" i="123"/>
  <c r="T29" i="123"/>
  <c r="S111" i="123"/>
  <c r="T111" i="123"/>
  <c r="T118" i="123"/>
  <c r="S118" i="123"/>
  <c r="T84" i="123"/>
  <c r="S84" i="123"/>
  <c r="T138" i="123"/>
  <c r="S138" i="123"/>
  <c r="S117" i="123"/>
  <c r="T117" i="123"/>
  <c r="T154" i="123"/>
  <c r="S154" i="123"/>
  <c r="T108" i="123"/>
  <c r="S108" i="123"/>
  <c r="T136" i="123"/>
  <c r="S136" i="123"/>
  <c r="S81" i="123"/>
  <c r="T81" i="123"/>
  <c r="S137" i="123"/>
  <c r="T137" i="123"/>
  <c r="S85" i="123"/>
  <c r="T85" i="123"/>
  <c r="S97" i="123"/>
  <c r="T97" i="123"/>
  <c r="T146" i="123"/>
  <c r="S146" i="123"/>
  <c r="S27" i="123"/>
  <c r="T27" i="123"/>
  <c r="T144" i="123"/>
  <c r="S144" i="123"/>
  <c r="T100" i="123"/>
  <c r="S100" i="123"/>
  <c r="T50" i="123"/>
  <c r="S50" i="123"/>
  <c r="T30" i="123"/>
  <c r="S30" i="123"/>
  <c r="S45" i="123"/>
  <c r="T45" i="123"/>
  <c r="T142" i="123"/>
  <c r="S142" i="123"/>
  <c r="S145" i="123"/>
  <c r="T145" i="123"/>
  <c r="T148" i="123"/>
  <c r="S148" i="123"/>
  <c r="X34" i="134" l="1"/>
  <c r="X40" i="134"/>
  <c r="T30" i="150"/>
  <c r="X34" i="150"/>
  <c r="F28" i="150"/>
  <c r="F31" i="150"/>
  <c r="F37" i="150"/>
  <c r="X7" i="150"/>
  <c r="X28" i="150" s="1"/>
  <c r="T36" i="150"/>
  <c r="X40" i="150"/>
  <c r="G37" i="134"/>
  <c r="G31" i="134"/>
  <c r="X7" i="134"/>
  <c r="H43" i="131"/>
  <c r="H39" i="131"/>
  <c r="E39" i="131"/>
  <c r="H40" i="131"/>
  <c r="H42" i="131"/>
  <c r="E31" i="131"/>
  <c r="E32" i="131"/>
  <c r="E26" i="131"/>
  <c r="E43" i="131"/>
  <c r="H29" i="131"/>
  <c r="E40" i="131"/>
  <c r="H28" i="131"/>
  <c r="H31" i="131"/>
  <c r="H34" i="131"/>
  <c r="E41" i="131"/>
  <c r="H33" i="131"/>
  <c r="E30" i="131"/>
  <c r="H41" i="131"/>
  <c r="E29" i="131"/>
  <c r="H27" i="131"/>
  <c r="E37" i="131"/>
  <c r="H35" i="131"/>
  <c r="E28" i="131"/>
  <c r="E35" i="131"/>
  <c r="E27" i="131"/>
  <c r="H32" i="131"/>
  <c r="H36" i="131"/>
  <c r="E36" i="131"/>
  <c r="H30" i="131"/>
  <c r="E38" i="131"/>
  <c r="E42" i="131"/>
  <c r="H38" i="131"/>
  <c r="H37" i="131"/>
  <c r="E34" i="131"/>
  <c r="E33" i="131"/>
  <c r="H26" i="131"/>
  <c r="X37" i="150" l="1"/>
  <c r="F36" i="150"/>
  <c r="X36" i="150" s="1"/>
  <c r="F30" i="150"/>
  <c r="X30" i="150" s="1"/>
  <c r="X31" i="150"/>
  <c r="F33" i="131"/>
  <c r="G33" i="131" s="1"/>
  <c r="I36" i="131"/>
  <c r="J36" i="131" s="1"/>
  <c r="I37" i="131"/>
  <c r="J37" i="131" s="1"/>
  <c r="I30" i="131"/>
  <c r="J30" i="131" s="1"/>
  <c r="F27" i="131"/>
  <c r="G27" i="131" s="1"/>
  <c r="F37" i="131"/>
  <c r="G37" i="131" s="1"/>
  <c r="F30" i="131"/>
  <c r="G30" i="131" s="1"/>
  <c r="I31" i="131"/>
  <c r="J31" i="131" s="1"/>
  <c r="F43" i="131"/>
  <c r="G43" i="131" s="1"/>
  <c r="I42" i="131"/>
  <c r="J42" i="131" s="1"/>
  <c r="I43" i="131"/>
  <c r="J43" i="131" s="1"/>
  <c r="I26" i="131"/>
  <c r="J26" i="131" s="1"/>
  <c r="I38" i="131"/>
  <c r="J38" i="131" s="1"/>
  <c r="F36" i="131"/>
  <c r="G36" i="131" s="1"/>
  <c r="F35" i="131"/>
  <c r="G35" i="131" s="1"/>
  <c r="I27" i="131"/>
  <c r="J27" i="131" s="1"/>
  <c r="I33" i="131"/>
  <c r="J33" i="131" s="1"/>
  <c r="I28" i="131"/>
  <c r="J28" i="131" s="1"/>
  <c r="F26" i="131"/>
  <c r="G26" i="131" s="1"/>
  <c r="I40" i="131"/>
  <c r="J40" i="131" s="1"/>
  <c r="F42" i="131"/>
  <c r="G42" i="131" s="1"/>
  <c r="F28" i="131"/>
  <c r="G28" i="131" s="1"/>
  <c r="F29" i="131"/>
  <c r="G29" i="131" s="1"/>
  <c r="F41" i="131"/>
  <c r="G41" i="131" s="1"/>
  <c r="F40" i="131"/>
  <c r="G40" i="131" s="1"/>
  <c r="F32" i="131"/>
  <c r="G32" i="131" s="1"/>
  <c r="F39" i="131"/>
  <c r="G39" i="131" s="1"/>
  <c r="F34" i="131"/>
  <c r="G34" i="131" s="1"/>
  <c r="F38" i="131"/>
  <c r="G38" i="131" s="1"/>
  <c r="I32" i="131"/>
  <c r="J32" i="131" s="1"/>
  <c r="I35" i="131"/>
  <c r="J35" i="131" s="1"/>
  <c r="I41" i="131"/>
  <c r="J41" i="131" s="1"/>
  <c r="I34" i="131"/>
  <c r="J34" i="131" s="1"/>
  <c r="I29" i="131"/>
  <c r="J29" i="131" s="1"/>
  <c r="F31" i="131"/>
  <c r="G31" i="131" s="1"/>
  <c r="I39" i="131"/>
  <c r="J39" i="131" s="1"/>
  <c r="X25" i="134"/>
  <c r="X26" i="134"/>
  <c r="H12" i="134"/>
  <c r="G12" i="134"/>
  <c r="X31" i="134"/>
  <c r="X37" i="134"/>
  <c r="S27" i="134"/>
  <c r="N27" i="134"/>
  <c r="Q27" i="134"/>
  <c r="U27" i="134"/>
  <c r="U28" i="134" s="1"/>
  <c r="M27" i="134"/>
  <c r="M28" i="134" s="1"/>
  <c r="R27" i="134"/>
  <c r="J27" i="134"/>
  <c r="V27" i="134"/>
  <c r="I27" i="134"/>
  <c r="G27" i="134"/>
  <c r="G35" i="134" s="1"/>
  <c r="O27" i="134"/>
  <c r="O28" i="134" s="1"/>
  <c r="F27" i="134"/>
  <c r="W27" i="134"/>
  <c r="W28" i="134" s="1"/>
  <c r="P27" i="134"/>
  <c r="P28" i="134" s="1"/>
  <c r="H27" i="134"/>
  <c r="K27" i="134"/>
  <c r="K28" i="134" s="1"/>
  <c r="L27" i="134"/>
  <c r="L28" i="134" s="1"/>
  <c r="T27" i="134"/>
  <c r="T28" i="134" s="1"/>
  <c r="I41" i="134" l="1"/>
  <c r="I36" i="134" s="1"/>
  <c r="I28" i="134"/>
  <c r="S41" i="134"/>
  <c r="S36" i="134" s="1"/>
  <c r="S28" i="134"/>
  <c r="V41" i="134"/>
  <c r="V36" i="134" s="1"/>
  <c r="V28" i="134"/>
  <c r="G38" i="134"/>
  <c r="G28" i="134"/>
  <c r="J35" i="134"/>
  <c r="J30" i="134" s="1"/>
  <c r="J28" i="134"/>
  <c r="Q35" i="134"/>
  <c r="Q30" i="134" s="1"/>
  <c r="Q28" i="134"/>
  <c r="H28" i="134"/>
  <c r="R41" i="134"/>
  <c r="R36" i="134" s="1"/>
  <c r="R28" i="134"/>
  <c r="N35" i="134"/>
  <c r="N30" i="134" s="1"/>
  <c r="N28" i="134"/>
  <c r="X27" i="134"/>
  <c r="H38" i="134"/>
  <c r="H32" i="134"/>
  <c r="G32" i="134"/>
  <c r="G30" i="134" s="1"/>
  <c r="F12" i="134"/>
  <c r="S35" i="134"/>
  <c r="S30" i="134" s="1"/>
  <c r="J41" i="134"/>
  <c r="J36" i="134" s="1"/>
  <c r="U41" i="134"/>
  <c r="U36" i="134" s="1"/>
  <c r="Q41" i="134"/>
  <c r="Q36" i="134" s="1"/>
  <c r="R35" i="134"/>
  <c r="R30" i="134" s="1"/>
  <c r="M35" i="134"/>
  <c r="M30" i="134" s="1"/>
  <c r="U35" i="134"/>
  <c r="U30" i="134" s="1"/>
  <c r="V35" i="134"/>
  <c r="V30" i="134" s="1"/>
  <c r="M41" i="134"/>
  <c r="M36" i="134" s="1"/>
  <c r="N41" i="134"/>
  <c r="N36" i="134" s="1"/>
  <c r="G41" i="134"/>
  <c r="I35" i="134"/>
  <c r="I30" i="134" s="1"/>
  <c r="L41" i="134"/>
  <c r="L36" i="134" s="1"/>
  <c r="L35" i="134"/>
  <c r="L30" i="134" s="1"/>
  <c r="F41" i="134"/>
  <c r="F35" i="134"/>
  <c r="T41" i="134"/>
  <c r="T36" i="134" s="1"/>
  <c r="T35" i="134"/>
  <c r="T30" i="134" s="1"/>
  <c r="P35" i="134"/>
  <c r="P30" i="134" s="1"/>
  <c r="P41" i="134"/>
  <c r="P36" i="134" s="1"/>
  <c r="K41" i="134"/>
  <c r="K36" i="134" s="1"/>
  <c r="K35" i="134"/>
  <c r="K30" i="134" s="1"/>
  <c r="H35" i="134"/>
  <c r="H41" i="134"/>
  <c r="W35" i="134"/>
  <c r="W30" i="134" s="1"/>
  <c r="W41" i="134"/>
  <c r="W36" i="134" s="1"/>
  <c r="O41" i="134"/>
  <c r="O36" i="134" s="1"/>
  <c r="O35" i="134"/>
  <c r="O30" i="134" s="1"/>
  <c r="H36" i="134" l="1"/>
  <c r="G36" i="134"/>
  <c r="H30" i="134"/>
  <c r="X12" i="134"/>
  <c r="X28" i="134" s="1"/>
  <c r="F28" i="134"/>
  <c r="F38" i="134"/>
  <c r="F32" i="134"/>
  <c r="X35" i="134"/>
  <c r="X41" i="134"/>
  <c r="X38" i="134" l="1"/>
  <c r="F36" i="134"/>
  <c r="X36" i="134" s="1"/>
  <c r="X32" i="134"/>
  <c r="F30" i="134"/>
  <c r="X30" i="134" s="1"/>
</calcChain>
</file>

<file path=xl/comments1.xml><?xml version="1.0" encoding="utf-8"?>
<comments xmlns="http://schemas.openxmlformats.org/spreadsheetml/2006/main">
  <authors>
    <author>Meghann Chell</author>
    <author>Natalie Reilly</author>
  </authors>
  <commentList>
    <comment ref="B7" authorId="0" shapeId="0">
      <text>
        <r>
          <rPr>
            <b/>
            <sz val="9"/>
            <color indexed="81"/>
            <rFont val="Tahoma"/>
            <family val="2"/>
          </rPr>
          <t>Meghann Chell:</t>
        </r>
        <r>
          <rPr>
            <sz val="9"/>
            <color indexed="81"/>
            <rFont val="Tahoma"/>
            <family val="2"/>
          </rPr>
          <t xml:space="preserve">
Project name.  Each ties into individual project sheets.
</t>
        </r>
      </text>
    </comment>
    <comment ref="C7" authorId="1" shapeId="0">
      <text>
        <r>
          <rPr>
            <b/>
            <sz val="9"/>
            <color indexed="81"/>
            <rFont val="Tahoma"/>
            <family val="2"/>
          </rPr>
          <t>Natalie Reilly:</t>
        </r>
        <r>
          <rPr>
            <sz val="9"/>
            <color indexed="81"/>
            <rFont val="Tahoma"/>
            <family val="2"/>
          </rPr>
          <t xml:space="preserve">
If "Escalation", project costs are calculated using escalation rate selected on this sheet.
If "Revised ENR", project costs are calculated using ratio of "ENR @ Date" and "ENR @ Revised Estimate Date" and escalation rate beyond "Revised Estimate Date".</t>
        </r>
      </text>
    </comment>
    <comment ref="D7" authorId="1" shapeId="0">
      <text>
        <r>
          <rPr>
            <b/>
            <sz val="9"/>
            <color indexed="81"/>
            <rFont val="Tahoma"/>
            <family val="2"/>
          </rPr>
          <t>Natalie Reilly:</t>
        </r>
        <r>
          <rPr>
            <sz val="9"/>
            <color indexed="81"/>
            <rFont val="Tahoma"/>
            <family val="2"/>
          </rPr>
          <t xml:space="preserve">
To edit estimate construction cost for individual project tasks, go to "CIP Full" sheet. Estimated Construction Cost from OPCC and Cost Factoring Workbook.</t>
        </r>
      </text>
    </comment>
    <comment ref="E7" authorId="0" shapeId="0">
      <text>
        <r>
          <rPr>
            <b/>
            <sz val="9"/>
            <color indexed="81"/>
            <rFont val="Tahoma"/>
            <family val="2"/>
          </rPr>
          <t>Meghann Chell:</t>
        </r>
        <r>
          <rPr>
            <sz val="9"/>
            <color indexed="81"/>
            <rFont val="Tahoma"/>
            <family val="2"/>
          </rPr>
          <t xml:space="preserve">
Estimated design and adminstrative costs based on Estimated construction cost and design and adminstrative contingency.</t>
        </r>
      </text>
    </comment>
    <comment ref="F7" authorId="0" shapeId="0">
      <text>
        <r>
          <rPr>
            <b/>
            <sz val="9"/>
            <color indexed="81"/>
            <rFont val="Tahoma"/>
            <family val="2"/>
          </rPr>
          <t>Meghann Chell:</t>
        </r>
        <r>
          <rPr>
            <sz val="9"/>
            <color indexed="81"/>
            <rFont val="Tahoma"/>
            <family val="2"/>
          </rPr>
          <t xml:space="preserve">
Sum of Construction, Design, and Adminstrative Costs</t>
        </r>
      </text>
    </comment>
    <comment ref="G7" authorId="0" shapeId="0">
      <text>
        <r>
          <rPr>
            <b/>
            <sz val="9"/>
            <color indexed="81"/>
            <rFont val="Tahoma"/>
            <family val="2"/>
          </rPr>
          <t>Meghann Chell:</t>
        </r>
        <r>
          <rPr>
            <sz val="9"/>
            <color indexed="81"/>
            <rFont val="Tahoma"/>
            <family val="2"/>
          </rPr>
          <t xml:space="preserve">
Estimated year that project comes online.  User entered value in CIP Summary
</t>
        </r>
      </text>
    </comment>
    <comment ref="H7" authorId="0" shapeId="0">
      <text>
        <r>
          <rPr>
            <b/>
            <sz val="9"/>
            <color indexed="81"/>
            <rFont val="Tahoma"/>
            <family val="2"/>
          </rPr>
          <t>Meghann Chell:</t>
        </r>
        <r>
          <rPr>
            <sz val="9"/>
            <color indexed="81"/>
            <rFont val="Tahoma"/>
            <family val="2"/>
          </rPr>
          <t xml:space="preserve">
ENR value at project completion year.  User entered value.</t>
        </r>
      </text>
    </comment>
    <comment ref="I7" authorId="0" shapeId="0">
      <text>
        <r>
          <rPr>
            <b/>
            <sz val="9"/>
            <color indexed="81"/>
            <rFont val="Tahoma"/>
            <family val="2"/>
          </rPr>
          <t>Meghann Chell:</t>
        </r>
        <r>
          <rPr>
            <sz val="9"/>
            <color indexed="81"/>
            <rFont val="Tahoma"/>
            <family val="2"/>
          </rPr>
          <t xml:space="preserve">
Future value of project based on assumed escalation rate.
</t>
        </r>
      </text>
    </comment>
    <comment ref="J7" authorId="1" shapeId="0">
      <text>
        <r>
          <rPr>
            <b/>
            <sz val="9"/>
            <color indexed="81"/>
            <rFont val="Tahoma"/>
            <family val="2"/>
          </rPr>
          <t>Natalie Reilly:</t>
        </r>
        <r>
          <rPr>
            <sz val="9"/>
            <color indexed="81"/>
            <rFont val="Tahoma"/>
            <family val="2"/>
          </rPr>
          <t xml:space="preserve">
Assumed Project Duration based on Design Duration, Construction Duration, and Schedule Float.
</t>
        </r>
      </text>
    </comment>
    <comment ref="K7" authorId="1" shapeId="0">
      <text>
        <r>
          <rPr>
            <b/>
            <sz val="9"/>
            <color indexed="81"/>
            <rFont val="Tahoma"/>
            <family val="2"/>
          </rPr>
          <t>Natalie Reilly:</t>
        </r>
        <r>
          <rPr>
            <sz val="9"/>
            <color indexed="81"/>
            <rFont val="Tahoma"/>
            <family val="2"/>
          </rPr>
          <t xml:space="preserve">
Use this column to manually change project duration. If not manually changing project duration, value in cell must be "0".</t>
        </r>
      </text>
    </comment>
    <comment ref="L7" authorId="0" shapeId="0">
      <text>
        <r>
          <rPr>
            <b/>
            <sz val="9"/>
            <color indexed="81"/>
            <rFont val="Tahoma"/>
            <family val="2"/>
          </rPr>
          <t>Meghann Chell:</t>
        </r>
        <r>
          <rPr>
            <sz val="9"/>
            <color indexed="81"/>
            <rFont val="Tahoma"/>
            <family val="2"/>
          </rPr>
          <t xml:space="preserve">
Calculated project start year based on design, construction, and float durations (or user-entered project duration)</t>
        </r>
      </text>
    </comment>
    <comment ref="M7" authorId="1" shapeId="0">
      <text>
        <r>
          <rPr>
            <b/>
            <sz val="9"/>
            <color indexed="81"/>
            <rFont val="Tahoma"/>
            <family val="2"/>
          </rPr>
          <t>Natalie Reilly:</t>
        </r>
        <r>
          <rPr>
            <sz val="9"/>
            <color indexed="81"/>
            <rFont val="Tahoma"/>
            <family val="2"/>
          </rPr>
          <t xml:space="preserve">
Assumed duration of project design.</t>
        </r>
      </text>
    </comment>
    <comment ref="N7" authorId="1" shapeId="0">
      <text>
        <r>
          <rPr>
            <b/>
            <sz val="9"/>
            <color indexed="81"/>
            <rFont val="Tahoma"/>
            <family val="2"/>
          </rPr>
          <t>Natalie Reilly:</t>
        </r>
        <r>
          <rPr>
            <sz val="9"/>
            <color indexed="81"/>
            <rFont val="Tahoma"/>
            <family val="2"/>
          </rPr>
          <t xml:space="preserve">
Assumed duration of project construction.</t>
        </r>
      </text>
    </comment>
    <comment ref="O7" authorId="1" shapeId="0">
      <text>
        <r>
          <rPr>
            <b/>
            <sz val="9"/>
            <color indexed="81"/>
            <rFont val="Tahoma"/>
            <family val="2"/>
          </rPr>
          <t>Natalie Reilly:</t>
        </r>
        <r>
          <rPr>
            <sz val="9"/>
            <color indexed="81"/>
            <rFont val="Tahoma"/>
            <family val="2"/>
          </rPr>
          <t xml:space="preserve">
Assumed project float.</t>
        </r>
      </text>
    </comment>
    <comment ref="P7" authorId="1" shapeId="0">
      <text>
        <r>
          <rPr>
            <b/>
            <sz val="9"/>
            <color indexed="81"/>
            <rFont val="Tahoma"/>
            <family val="2"/>
          </rPr>
          <t>Natalie Reilly:</t>
        </r>
        <r>
          <rPr>
            <sz val="9"/>
            <color indexed="81"/>
            <rFont val="Tahoma"/>
            <family val="2"/>
          </rPr>
          <t xml:space="preserve">
Design start date caluclated based on Assumed Project Year, Design Duration, Construction Duration, and Float.</t>
        </r>
      </text>
    </comment>
    <comment ref="Q7" authorId="1" shapeId="0">
      <text>
        <r>
          <rPr>
            <b/>
            <sz val="9"/>
            <color indexed="81"/>
            <rFont val="Tahoma"/>
            <family val="2"/>
          </rPr>
          <t>Natalie Reilly:</t>
        </r>
        <r>
          <rPr>
            <sz val="9"/>
            <color indexed="81"/>
            <rFont val="Tahoma"/>
            <family val="2"/>
          </rPr>
          <t xml:space="preserve">
Construction start date caluclated based on Assumed Project Year, Construction Duration, and Float.</t>
        </r>
      </text>
    </comment>
    <comment ref="R7" authorId="1" shapeId="0">
      <text>
        <r>
          <rPr>
            <b/>
            <sz val="9"/>
            <color indexed="81"/>
            <rFont val="Tahoma"/>
            <family val="2"/>
          </rPr>
          <t>Natalie Reilly:</t>
        </r>
        <r>
          <rPr>
            <sz val="9"/>
            <color indexed="81"/>
            <rFont val="Tahoma"/>
            <family val="2"/>
          </rPr>
          <t xml:space="preserve">
Sums actual construction costs that were entered on project sheets.</t>
        </r>
      </text>
    </comment>
    <comment ref="A21" authorId="1" shapeId="0">
      <text>
        <r>
          <rPr>
            <b/>
            <sz val="9"/>
            <color indexed="81"/>
            <rFont val="Tahoma"/>
            <family val="2"/>
          </rPr>
          <t>Natalie Reilly:</t>
        </r>
        <r>
          <rPr>
            <sz val="9"/>
            <color indexed="81"/>
            <rFont val="Tahoma"/>
            <family val="2"/>
          </rPr>
          <t xml:space="preserve">
If "Escalation", project costs are calculated using escalation rate selected on this sheet.
If "Revised ENR", project costs are calculated using ratio of "ENR @ Date" and "ENR @ Revised Estimate Date" and escalation rate beyond "Revised Estimate Date".</t>
        </r>
      </text>
    </comment>
    <comment ref="B25" authorId="0" shapeId="0">
      <text>
        <r>
          <rPr>
            <b/>
            <sz val="9"/>
            <color indexed="81"/>
            <rFont val="Tahoma"/>
            <family val="2"/>
          </rPr>
          <t>Meghann Chell:</t>
        </r>
        <r>
          <rPr>
            <sz val="9"/>
            <color indexed="81"/>
            <rFont val="Tahoma"/>
            <family val="2"/>
          </rPr>
          <t xml:space="preserve">
Project name.  Each ties into individual project sheets.
</t>
        </r>
      </text>
    </comment>
    <comment ref="C25" authorId="0" shapeId="0">
      <text>
        <r>
          <rPr>
            <b/>
            <sz val="9"/>
            <color indexed="81"/>
            <rFont val="Tahoma"/>
            <family val="2"/>
          </rPr>
          <t>Meghann Chell:</t>
        </r>
        <r>
          <rPr>
            <sz val="9"/>
            <color indexed="81"/>
            <rFont val="Tahoma"/>
            <family val="2"/>
          </rPr>
          <t xml:space="preserve">
Estimated year that project comes online.
Editable in CIP Full sheet for individual tasks.</t>
        </r>
      </text>
    </comment>
    <comment ref="E25" authorId="1" shapeId="0">
      <text>
        <r>
          <rPr>
            <b/>
            <sz val="9"/>
            <color indexed="81"/>
            <rFont val="Tahoma"/>
            <family val="2"/>
          </rPr>
          <t>Natalie Reilly:</t>
        </r>
        <r>
          <rPr>
            <sz val="9"/>
            <color indexed="81"/>
            <rFont val="Tahoma"/>
            <family val="2"/>
          </rPr>
          <t xml:space="preserve">
To edit estimate construction cost for individual project tasks, go to "CIP Full" sheet. Estimated Construction Cost from OPCC and Cost Factoring Workbook.</t>
        </r>
      </text>
    </comment>
    <comment ref="H25" authorId="0" shapeId="0">
      <text>
        <r>
          <rPr>
            <b/>
            <sz val="9"/>
            <color indexed="81"/>
            <rFont val="Tahoma"/>
            <family val="2"/>
          </rPr>
          <t>Meghann Chell:</t>
        </r>
        <r>
          <rPr>
            <sz val="9"/>
            <color indexed="81"/>
            <rFont val="Tahoma"/>
            <family val="2"/>
          </rPr>
          <t xml:space="preserve">
Future value of project based on assumed escalation rate.
</t>
        </r>
      </text>
    </comment>
    <comment ref="K25" authorId="1" shapeId="0">
      <text>
        <r>
          <rPr>
            <b/>
            <sz val="9"/>
            <color indexed="81"/>
            <rFont val="Tahoma"/>
            <family val="2"/>
          </rPr>
          <t>Natalie Reilly:</t>
        </r>
        <r>
          <rPr>
            <sz val="9"/>
            <color indexed="81"/>
            <rFont val="Tahoma"/>
            <family val="2"/>
          </rPr>
          <t xml:space="preserve">
Sums actual construction costs that were entered on project sheets.</t>
        </r>
      </text>
    </comment>
  </commentList>
</comments>
</file>

<file path=xl/comments10.xml><?xml version="1.0" encoding="utf-8"?>
<comments xmlns="http://schemas.openxmlformats.org/spreadsheetml/2006/main">
  <authors>
    <author>Natalie Reilly</author>
  </authors>
  <commentList>
    <comment ref="C29" authorId="0" shapeId="0">
      <text>
        <r>
          <rPr>
            <b/>
            <sz val="9"/>
            <color indexed="81"/>
            <rFont val="Tahoma"/>
            <family val="2"/>
          </rPr>
          <t>Natalie Reilly:</t>
        </r>
        <r>
          <rPr>
            <sz val="9"/>
            <color indexed="81"/>
            <rFont val="Tahoma"/>
            <family val="2"/>
          </rPr>
          <t xml:space="preserve">
The percent responsibility for each stakeholder is stipulated on the ReadMe sheet. Change the percent in this column to hard-enter another value for one of the projects.</t>
        </r>
      </text>
    </comment>
  </commentList>
</comments>
</file>

<file path=xl/comments2.xml><?xml version="1.0" encoding="utf-8"?>
<comments xmlns="http://schemas.openxmlformats.org/spreadsheetml/2006/main">
  <authors>
    <author>Meghann Chell</author>
    <author>Natalie Reilly</author>
  </authors>
  <commentList>
    <comment ref="A7" authorId="0" shapeId="0">
      <text>
        <r>
          <rPr>
            <b/>
            <sz val="9"/>
            <color indexed="81"/>
            <rFont val="Tahoma"/>
            <family val="2"/>
          </rPr>
          <t>Meghann Chell:</t>
        </r>
        <r>
          <rPr>
            <sz val="9"/>
            <color indexed="81"/>
            <rFont val="Tahoma"/>
            <family val="2"/>
          </rPr>
          <t xml:space="preserve">
Project number that ties back to estimate source for ease of updating.</t>
        </r>
      </text>
    </comment>
    <comment ref="B7" authorId="0" shapeId="0">
      <text>
        <r>
          <rPr>
            <b/>
            <sz val="9"/>
            <color indexed="81"/>
            <rFont val="Tahoma"/>
            <family val="2"/>
          </rPr>
          <t>Meghann Chell:</t>
        </r>
        <r>
          <rPr>
            <sz val="9"/>
            <color indexed="81"/>
            <rFont val="Tahoma"/>
            <family val="2"/>
          </rPr>
          <t xml:space="preserve">
Project name.  Each ties into individual project sheets.
</t>
        </r>
      </text>
    </comment>
    <comment ref="C7" authorId="0" shapeId="0">
      <text>
        <r>
          <rPr>
            <b/>
            <sz val="9"/>
            <color indexed="81"/>
            <rFont val="Tahoma"/>
            <family val="2"/>
          </rPr>
          <t>Meghann Chell:</t>
        </r>
        <r>
          <rPr>
            <sz val="9"/>
            <color indexed="81"/>
            <rFont val="Tahoma"/>
            <family val="2"/>
          </rPr>
          <t xml:space="preserve">
Identifies WTP plant system associated with task.</t>
        </r>
      </text>
    </comment>
    <comment ref="D7" authorId="0" shapeId="0">
      <text>
        <r>
          <rPr>
            <b/>
            <sz val="9"/>
            <color indexed="81"/>
            <rFont val="Tahoma"/>
            <family val="2"/>
          </rPr>
          <t>Meghann Chell:</t>
        </r>
        <r>
          <rPr>
            <sz val="9"/>
            <color indexed="81"/>
            <rFont val="Tahoma"/>
            <family val="2"/>
          </rPr>
          <t xml:space="preserve">
Description of task scope used to develop estimate.</t>
        </r>
      </text>
    </comment>
    <comment ref="E7" authorId="1" shapeId="0">
      <text>
        <r>
          <rPr>
            <b/>
            <sz val="9"/>
            <color indexed="81"/>
            <rFont val="Tahoma"/>
            <family val="2"/>
          </rPr>
          <t>Natalie Reilly:</t>
        </r>
        <r>
          <rPr>
            <sz val="9"/>
            <color indexed="81"/>
            <rFont val="Tahoma"/>
            <family val="2"/>
          </rPr>
          <t xml:space="preserve">
Estimated Construction Cost from OPCC and Cost Factoring Workbook.</t>
        </r>
      </text>
    </comment>
    <comment ref="F7" authorId="0" shapeId="0">
      <text>
        <r>
          <rPr>
            <b/>
            <sz val="9"/>
            <color indexed="81"/>
            <rFont val="Tahoma"/>
            <family val="2"/>
          </rPr>
          <t>Meghann Chell:</t>
        </r>
        <r>
          <rPr>
            <sz val="9"/>
            <color indexed="81"/>
            <rFont val="Tahoma"/>
            <family val="2"/>
          </rPr>
          <t xml:space="preserve">
Yes - Design and Admin Contingency added
No - Only Admin Contingency added
</t>
        </r>
      </text>
    </comment>
    <comment ref="G7" authorId="1" shapeId="0">
      <text>
        <r>
          <rPr>
            <b/>
            <sz val="9"/>
            <color indexed="81"/>
            <rFont val="Tahoma"/>
            <family val="2"/>
          </rPr>
          <t>Natalie Reilly:</t>
        </r>
        <r>
          <rPr>
            <sz val="9"/>
            <color indexed="81"/>
            <rFont val="Tahoma"/>
            <family val="2"/>
          </rPr>
          <t xml:space="preserve">
If "Escalation", project costs are calculated using escalation rate selected on this sheet.
If "Revised ENR", project costs are calculated using ratio of "ENR @ Date" and "ENR @ Revised Estimate Date" and escalation rate beyond "Revised Estimate Date".
Editable in CIP Summary sheet</t>
        </r>
      </text>
    </comment>
    <comment ref="H7" authorId="0" shapeId="0">
      <text>
        <r>
          <rPr>
            <b/>
            <sz val="9"/>
            <color indexed="81"/>
            <rFont val="Tahoma"/>
            <family val="2"/>
          </rPr>
          <t>Meghann Chell:</t>
        </r>
        <r>
          <rPr>
            <sz val="9"/>
            <color indexed="81"/>
            <rFont val="Tahoma"/>
            <family val="2"/>
          </rPr>
          <t xml:space="preserve">
Calculated design cost based on project construction cost and design escalation rate.  Value is $0 if Design Project field = No.</t>
        </r>
      </text>
    </comment>
    <comment ref="I7" authorId="0" shapeId="0">
      <text>
        <r>
          <rPr>
            <b/>
            <sz val="9"/>
            <color indexed="81"/>
            <rFont val="Tahoma"/>
            <family val="2"/>
          </rPr>
          <t>Meghann Chell:</t>
        </r>
        <r>
          <rPr>
            <sz val="9"/>
            <color indexed="81"/>
            <rFont val="Tahoma"/>
            <family val="2"/>
          </rPr>
          <t xml:space="preserve">
Calculated adminstrative cost based on project construction cost and adminstration escalation rate.  </t>
        </r>
      </text>
    </comment>
    <comment ref="J7" authorId="0" shapeId="0">
      <text>
        <r>
          <rPr>
            <b/>
            <sz val="9"/>
            <color indexed="81"/>
            <rFont val="Tahoma"/>
            <family val="2"/>
          </rPr>
          <t>Meghann Chell:</t>
        </r>
        <r>
          <rPr>
            <sz val="9"/>
            <color indexed="81"/>
            <rFont val="Tahoma"/>
            <family val="2"/>
          </rPr>
          <t xml:space="preserve">
Sum of Construction, Design, and Adminstrative Costs</t>
        </r>
      </text>
    </comment>
    <comment ref="K7" authorId="0" shapeId="0">
      <text>
        <r>
          <rPr>
            <b/>
            <sz val="9"/>
            <color indexed="81"/>
            <rFont val="Tahoma"/>
            <family val="2"/>
          </rPr>
          <t>Meghann Chell:</t>
        </r>
        <r>
          <rPr>
            <sz val="9"/>
            <color indexed="81"/>
            <rFont val="Tahoma"/>
            <family val="2"/>
          </rPr>
          <t xml:space="preserve">
Estimated year that project comes online. R&amp;R Tasks are editable.
</t>
        </r>
      </text>
    </comment>
    <comment ref="L7" authorId="0" shapeId="0">
      <text>
        <r>
          <rPr>
            <b/>
            <sz val="9"/>
            <color indexed="81"/>
            <rFont val="Tahoma"/>
            <family val="2"/>
          </rPr>
          <t>Meghann Chell:</t>
        </r>
        <r>
          <rPr>
            <sz val="9"/>
            <color indexed="81"/>
            <rFont val="Tahoma"/>
            <family val="2"/>
          </rPr>
          <t xml:space="preserve">
ENR value at project completion year.  User entered value.</t>
        </r>
      </text>
    </comment>
    <comment ref="M7" authorId="0" shapeId="0">
      <text>
        <r>
          <rPr>
            <b/>
            <sz val="9"/>
            <color indexed="81"/>
            <rFont val="Tahoma"/>
            <family val="2"/>
          </rPr>
          <t>Meghann Chell:</t>
        </r>
        <r>
          <rPr>
            <sz val="9"/>
            <color indexed="81"/>
            <rFont val="Tahoma"/>
            <family val="2"/>
          </rPr>
          <t xml:space="preserve">
Future value of project based on assumed escalation rate.
</t>
        </r>
      </text>
    </comment>
    <comment ref="N7" authorId="0" shapeId="0">
      <text>
        <r>
          <rPr>
            <b/>
            <sz val="9"/>
            <color indexed="81"/>
            <rFont val="Tahoma"/>
            <family val="2"/>
          </rPr>
          <t>Meghann Chell:</t>
        </r>
        <r>
          <rPr>
            <sz val="9"/>
            <color indexed="81"/>
            <rFont val="Tahoma"/>
            <family val="2"/>
          </rPr>
          <t xml:space="preserve">
Future design cost based on assumed escalation rate, ENR, or Revised ENR based on user selection</t>
        </r>
      </text>
    </comment>
    <comment ref="O7" authorId="0" shapeId="0">
      <text>
        <r>
          <rPr>
            <b/>
            <sz val="9"/>
            <color indexed="81"/>
            <rFont val="Tahoma"/>
            <family val="2"/>
          </rPr>
          <t>Meghann Chell:</t>
        </r>
        <r>
          <rPr>
            <sz val="9"/>
            <color indexed="81"/>
            <rFont val="Tahoma"/>
            <family val="2"/>
          </rPr>
          <t xml:space="preserve">
Future administrative cost based on assumed escalation rate, ENR, or Revised ENR based on user selection</t>
        </r>
      </text>
    </comment>
    <comment ref="P7" authorId="0" shapeId="0">
      <text>
        <r>
          <rPr>
            <b/>
            <sz val="9"/>
            <color indexed="81"/>
            <rFont val="Tahoma"/>
            <family val="2"/>
          </rPr>
          <t>Natalie Reilly:</t>
        </r>
        <r>
          <rPr>
            <sz val="9"/>
            <color indexed="81"/>
            <rFont val="Tahoma"/>
            <family val="2"/>
          </rPr>
          <t xml:space="preserve">
Assumed duration of project design. R&amp;R Tasks can be edited.
</t>
        </r>
      </text>
    </comment>
    <comment ref="Q7" authorId="0" shapeId="0">
      <text>
        <r>
          <rPr>
            <b/>
            <sz val="9"/>
            <color indexed="81"/>
            <rFont val="Tahoma"/>
            <family val="2"/>
          </rPr>
          <t>Natalie Reilly:</t>
        </r>
        <r>
          <rPr>
            <sz val="9"/>
            <color indexed="81"/>
            <rFont val="Tahoma"/>
            <family val="2"/>
          </rPr>
          <t xml:space="preserve">
Assumed duration of project construction. R&amp;R Tasks can be edited.
</t>
        </r>
      </text>
    </comment>
    <comment ref="R7" authorId="0" shapeId="0">
      <text>
        <r>
          <rPr>
            <b/>
            <sz val="9"/>
            <color indexed="81"/>
            <rFont val="Tahoma"/>
            <family val="2"/>
          </rPr>
          <t>Natalie Reilly:</t>
        </r>
        <r>
          <rPr>
            <sz val="9"/>
            <color indexed="81"/>
            <rFont val="Tahoma"/>
            <family val="2"/>
          </rPr>
          <t xml:space="preserve">
Assumed project float. R&amp;R Tasks can be edited.
</t>
        </r>
      </text>
    </comment>
    <comment ref="S7" authorId="0" shapeId="0">
      <text>
        <r>
          <rPr>
            <b/>
            <sz val="9"/>
            <color indexed="81"/>
            <rFont val="Tahoma"/>
            <family val="2"/>
          </rPr>
          <t>Natalie Reilly:</t>
        </r>
        <r>
          <rPr>
            <sz val="9"/>
            <color indexed="81"/>
            <rFont val="Tahoma"/>
            <family val="2"/>
          </rPr>
          <t xml:space="preserve">
Design start date caluclated based on Assumed Project Year, Design Duration, Construction Duration, and Float.</t>
        </r>
      </text>
    </comment>
    <comment ref="T7" authorId="0" shapeId="0">
      <text>
        <r>
          <rPr>
            <b/>
            <sz val="9"/>
            <color indexed="81"/>
            <rFont val="Tahoma"/>
            <family val="2"/>
          </rPr>
          <t>Natalie Reilly:</t>
        </r>
        <r>
          <rPr>
            <sz val="9"/>
            <color indexed="81"/>
            <rFont val="Tahoma"/>
            <family val="2"/>
          </rPr>
          <t xml:space="preserve">
Construction start date caluclated based on Assumed Project Year, Construction Duration, and Float</t>
        </r>
      </text>
    </comment>
    <comment ref="C105" authorId="0" shapeId="0">
      <text>
        <r>
          <rPr>
            <b/>
            <sz val="9"/>
            <color indexed="81"/>
            <rFont val="Tahoma"/>
            <family val="2"/>
          </rPr>
          <t>Meghann Chell:</t>
        </r>
        <r>
          <rPr>
            <sz val="9"/>
            <color indexed="81"/>
            <rFont val="Tahoma"/>
            <family val="2"/>
          </rPr>
          <t xml:space="preserve">
Change to plant-wide?</t>
        </r>
      </text>
    </comment>
  </commentList>
</comments>
</file>

<file path=xl/comments3.xml><?xml version="1.0" encoding="utf-8"?>
<comments xmlns="http://schemas.openxmlformats.org/spreadsheetml/2006/main">
  <authors>
    <author>Meghann Chell</author>
    <author>Natalie Reilly</author>
  </authors>
  <commentList>
    <comment ref="A54" authorId="0" shapeId="0">
      <text>
        <r>
          <rPr>
            <b/>
            <sz val="9"/>
            <color indexed="81"/>
            <rFont val="Tahoma"/>
            <family val="2"/>
          </rPr>
          <t>Meghann Chell:</t>
        </r>
        <r>
          <rPr>
            <sz val="9"/>
            <color indexed="81"/>
            <rFont val="Tahoma"/>
            <family val="2"/>
          </rPr>
          <t xml:space="preserve">
Project number that ties back to estimate source for ease of updating.</t>
        </r>
      </text>
    </comment>
    <comment ref="B54" authorId="0" shapeId="0">
      <text>
        <r>
          <rPr>
            <b/>
            <sz val="9"/>
            <color indexed="81"/>
            <rFont val="Tahoma"/>
            <family val="2"/>
          </rPr>
          <t>Meghann Chell:</t>
        </r>
        <r>
          <rPr>
            <sz val="9"/>
            <color indexed="81"/>
            <rFont val="Tahoma"/>
            <family val="2"/>
          </rPr>
          <t xml:space="preserve">
Project name.  Each ties into individual project sheets.
</t>
        </r>
      </text>
    </comment>
    <comment ref="C54" authorId="0" shapeId="0">
      <text>
        <r>
          <rPr>
            <b/>
            <sz val="9"/>
            <color indexed="81"/>
            <rFont val="Tahoma"/>
            <family val="2"/>
          </rPr>
          <t>Meghann Chell:</t>
        </r>
        <r>
          <rPr>
            <sz val="9"/>
            <color indexed="81"/>
            <rFont val="Tahoma"/>
            <family val="2"/>
          </rPr>
          <t xml:space="preserve">
Identifies WTP plant system assocaited with task</t>
        </r>
      </text>
    </comment>
    <comment ref="D54" authorId="0" shapeId="0">
      <text>
        <r>
          <rPr>
            <b/>
            <sz val="9"/>
            <color indexed="81"/>
            <rFont val="Tahoma"/>
            <family val="2"/>
          </rPr>
          <t>Meghann Chell:</t>
        </r>
        <r>
          <rPr>
            <sz val="9"/>
            <color indexed="81"/>
            <rFont val="Tahoma"/>
            <family val="2"/>
          </rPr>
          <t xml:space="preserve">
Description of task scope used to develop estimate.</t>
        </r>
      </text>
    </comment>
    <comment ref="E54" authorId="1" shapeId="0">
      <text>
        <r>
          <rPr>
            <b/>
            <sz val="9"/>
            <color indexed="81"/>
            <rFont val="Tahoma"/>
            <family val="2"/>
          </rPr>
          <t>Natalie Reilly:</t>
        </r>
        <r>
          <rPr>
            <sz val="9"/>
            <color indexed="81"/>
            <rFont val="Tahoma"/>
            <family val="2"/>
          </rPr>
          <t xml:space="preserve">
Estimated Construction Cost from OPCC and Cost Factoring Workbook. Editable in CIP Full Sheet.</t>
        </r>
      </text>
    </comment>
    <comment ref="F54" authorId="0" shapeId="0">
      <text>
        <r>
          <rPr>
            <b/>
            <sz val="9"/>
            <color indexed="81"/>
            <rFont val="Tahoma"/>
            <family val="2"/>
          </rPr>
          <t>Meghann Chell:</t>
        </r>
        <r>
          <rPr>
            <sz val="9"/>
            <color indexed="81"/>
            <rFont val="Tahoma"/>
            <family val="2"/>
          </rPr>
          <t xml:space="preserve">
YES - Design and Admin Contingency added
NO - Only Admin Contingency added
Editable in CIP Full Sheet</t>
        </r>
      </text>
    </comment>
    <comment ref="H54" authorId="0" shapeId="0">
      <text>
        <r>
          <rPr>
            <b/>
            <sz val="9"/>
            <color indexed="81"/>
            <rFont val="Tahoma"/>
            <family val="2"/>
          </rPr>
          <t>Meghann Chell:</t>
        </r>
        <r>
          <rPr>
            <sz val="9"/>
            <color indexed="81"/>
            <rFont val="Tahoma"/>
            <family val="2"/>
          </rPr>
          <t xml:space="preserve">
Future value of project based on assumed escalation rate.
</t>
        </r>
      </text>
    </comment>
    <comment ref="I54" authorId="1" shapeId="0">
      <text>
        <r>
          <rPr>
            <b/>
            <sz val="9"/>
            <color indexed="81"/>
            <rFont val="Tahoma"/>
            <family val="2"/>
          </rPr>
          <t>Natalie Reilly:</t>
        </r>
        <r>
          <rPr>
            <sz val="9"/>
            <color indexed="81"/>
            <rFont val="Tahoma"/>
            <family val="2"/>
          </rPr>
          <t xml:space="preserve">
Input actual construction cost
</t>
        </r>
      </text>
    </comment>
  </commentList>
</comments>
</file>

<file path=xl/comments4.xml><?xml version="1.0" encoding="utf-8"?>
<comments xmlns="http://schemas.openxmlformats.org/spreadsheetml/2006/main">
  <authors>
    <author>Meghann Chell</author>
    <author>Natalie Reilly</author>
  </authors>
  <commentList>
    <comment ref="A42" authorId="0" shapeId="0">
      <text>
        <r>
          <rPr>
            <b/>
            <sz val="9"/>
            <color indexed="81"/>
            <rFont val="Tahoma"/>
            <family val="2"/>
          </rPr>
          <t>Meghann Chell:</t>
        </r>
        <r>
          <rPr>
            <sz val="9"/>
            <color indexed="81"/>
            <rFont val="Tahoma"/>
            <family val="2"/>
          </rPr>
          <t xml:space="preserve">
Project number that ties back to estimate source for ease of updating.</t>
        </r>
      </text>
    </comment>
    <comment ref="B42" authorId="0" shapeId="0">
      <text>
        <r>
          <rPr>
            <b/>
            <sz val="9"/>
            <color indexed="81"/>
            <rFont val="Tahoma"/>
            <family val="2"/>
          </rPr>
          <t>Meghann Chell:</t>
        </r>
        <r>
          <rPr>
            <sz val="9"/>
            <color indexed="81"/>
            <rFont val="Tahoma"/>
            <family val="2"/>
          </rPr>
          <t xml:space="preserve">
Project name.  Each ties into individual project sheets.
</t>
        </r>
      </text>
    </comment>
    <comment ref="C42" authorId="0" shapeId="0">
      <text>
        <r>
          <rPr>
            <b/>
            <sz val="9"/>
            <color indexed="81"/>
            <rFont val="Tahoma"/>
            <family val="2"/>
          </rPr>
          <t>Meghann Chell:</t>
        </r>
        <r>
          <rPr>
            <sz val="9"/>
            <color indexed="81"/>
            <rFont val="Tahoma"/>
            <family val="2"/>
          </rPr>
          <t xml:space="preserve">
Identifies WTP plant system assocaited with task</t>
        </r>
      </text>
    </comment>
    <comment ref="D42" authorId="0" shapeId="0">
      <text>
        <r>
          <rPr>
            <b/>
            <sz val="9"/>
            <color indexed="81"/>
            <rFont val="Tahoma"/>
            <family val="2"/>
          </rPr>
          <t>Meghann Chell:</t>
        </r>
        <r>
          <rPr>
            <sz val="9"/>
            <color indexed="81"/>
            <rFont val="Tahoma"/>
            <family val="2"/>
          </rPr>
          <t xml:space="preserve">
Description of task scope used to develop estimate.</t>
        </r>
      </text>
    </comment>
    <comment ref="E42" authorId="1" shapeId="0">
      <text>
        <r>
          <rPr>
            <b/>
            <sz val="9"/>
            <color indexed="81"/>
            <rFont val="Tahoma"/>
            <family val="2"/>
          </rPr>
          <t>Natalie Reilly:</t>
        </r>
        <r>
          <rPr>
            <sz val="9"/>
            <color indexed="81"/>
            <rFont val="Tahoma"/>
            <family val="2"/>
          </rPr>
          <t xml:space="preserve">
Estimated Construction Cost from OPCC and Cost Factoring Workbook. Editable in CIP Full Sheet.</t>
        </r>
      </text>
    </comment>
    <comment ref="F42" authorId="0" shapeId="0">
      <text>
        <r>
          <rPr>
            <b/>
            <sz val="9"/>
            <color indexed="81"/>
            <rFont val="Tahoma"/>
            <family val="2"/>
          </rPr>
          <t>Meghann Chell:</t>
        </r>
        <r>
          <rPr>
            <sz val="9"/>
            <color indexed="81"/>
            <rFont val="Tahoma"/>
            <family val="2"/>
          </rPr>
          <t xml:space="preserve">
YES - Design and Admin Contingency added
NO - Only Admin Contingency added
Editable in CIP Full Sheet</t>
        </r>
      </text>
    </comment>
    <comment ref="H42" authorId="0" shapeId="0">
      <text>
        <r>
          <rPr>
            <b/>
            <sz val="9"/>
            <color indexed="81"/>
            <rFont val="Tahoma"/>
            <family val="2"/>
          </rPr>
          <t>Meghann Chell:</t>
        </r>
        <r>
          <rPr>
            <sz val="9"/>
            <color indexed="81"/>
            <rFont val="Tahoma"/>
            <family val="2"/>
          </rPr>
          <t xml:space="preserve">
Future value of project based on assumed escalation rate.
</t>
        </r>
      </text>
    </comment>
    <comment ref="I42" authorId="1" shapeId="0">
      <text>
        <r>
          <rPr>
            <b/>
            <sz val="9"/>
            <color indexed="81"/>
            <rFont val="Tahoma"/>
            <family val="2"/>
          </rPr>
          <t>Natalie Reilly:</t>
        </r>
        <r>
          <rPr>
            <sz val="9"/>
            <color indexed="81"/>
            <rFont val="Tahoma"/>
            <family val="2"/>
          </rPr>
          <t xml:space="preserve">
Input actual construction cost
</t>
        </r>
      </text>
    </comment>
  </commentList>
</comments>
</file>

<file path=xl/comments5.xml><?xml version="1.0" encoding="utf-8"?>
<comments xmlns="http://schemas.openxmlformats.org/spreadsheetml/2006/main">
  <authors>
    <author>Meghann Chell</author>
    <author>Natalie Reilly</author>
  </authors>
  <commentList>
    <comment ref="A43" authorId="0" shapeId="0">
      <text>
        <r>
          <rPr>
            <b/>
            <sz val="9"/>
            <color indexed="81"/>
            <rFont val="Tahoma"/>
            <family val="2"/>
          </rPr>
          <t>Meghann Chell:</t>
        </r>
        <r>
          <rPr>
            <sz val="9"/>
            <color indexed="81"/>
            <rFont val="Tahoma"/>
            <family val="2"/>
          </rPr>
          <t xml:space="preserve">
Project number that ties back to estimate source for ease of updating.</t>
        </r>
      </text>
    </comment>
    <comment ref="B43" authorId="0" shapeId="0">
      <text>
        <r>
          <rPr>
            <b/>
            <sz val="9"/>
            <color indexed="81"/>
            <rFont val="Tahoma"/>
            <family val="2"/>
          </rPr>
          <t>Meghann Chell:</t>
        </r>
        <r>
          <rPr>
            <sz val="9"/>
            <color indexed="81"/>
            <rFont val="Tahoma"/>
            <family val="2"/>
          </rPr>
          <t xml:space="preserve">
Project name.  Each ties into individual project sheets.
</t>
        </r>
      </text>
    </comment>
    <comment ref="C43" authorId="0" shapeId="0">
      <text>
        <r>
          <rPr>
            <b/>
            <sz val="9"/>
            <color indexed="81"/>
            <rFont val="Tahoma"/>
            <family val="2"/>
          </rPr>
          <t>Meghann Chell:</t>
        </r>
        <r>
          <rPr>
            <sz val="9"/>
            <color indexed="81"/>
            <rFont val="Tahoma"/>
            <family val="2"/>
          </rPr>
          <t xml:space="preserve">
Identifies WTP plant system assocaited with task</t>
        </r>
      </text>
    </comment>
    <comment ref="D43" authorId="0" shapeId="0">
      <text>
        <r>
          <rPr>
            <b/>
            <sz val="9"/>
            <color indexed="81"/>
            <rFont val="Tahoma"/>
            <family val="2"/>
          </rPr>
          <t>Meghann Chell:</t>
        </r>
        <r>
          <rPr>
            <sz val="9"/>
            <color indexed="81"/>
            <rFont val="Tahoma"/>
            <family val="2"/>
          </rPr>
          <t xml:space="preserve">
Description of task scope used to develop estimate.</t>
        </r>
      </text>
    </comment>
    <comment ref="E43" authorId="1" shapeId="0">
      <text>
        <r>
          <rPr>
            <b/>
            <sz val="9"/>
            <color indexed="81"/>
            <rFont val="Tahoma"/>
            <family val="2"/>
          </rPr>
          <t>Natalie Reilly:</t>
        </r>
        <r>
          <rPr>
            <sz val="9"/>
            <color indexed="81"/>
            <rFont val="Tahoma"/>
            <family val="2"/>
          </rPr>
          <t xml:space="preserve">
Estimated Construction Cost from OPCC and Cost Factoring Workbook. Editable in CIP Full Sheet.</t>
        </r>
      </text>
    </comment>
    <comment ref="F43" authorId="0" shapeId="0">
      <text>
        <r>
          <rPr>
            <b/>
            <sz val="9"/>
            <color indexed="81"/>
            <rFont val="Tahoma"/>
            <family val="2"/>
          </rPr>
          <t>Meghann Chell:</t>
        </r>
        <r>
          <rPr>
            <sz val="9"/>
            <color indexed="81"/>
            <rFont val="Tahoma"/>
            <family val="2"/>
          </rPr>
          <t xml:space="preserve">
YES - Design and Admin Contingency added
NO - Only Admin Contingency added
Editable in CIP Full Sheet</t>
        </r>
      </text>
    </comment>
    <comment ref="H43" authorId="0" shapeId="0">
      <text>
        <r>
          <rPr>
            <b/>
            <sz val="9"/>
            <color indexed="81"/>
            <rFont val="Tahoma"/>
            <family val="2"/>
          </rPr>
          <t>Meghann Chell:</t>
        </r>
        <r>
          <rPr>
            <sz val="9"/>
            <color indexed="81"/>
            <rFont val="Tahoma"/>
            <family val="2"/>
          </rPr>
          <t xml:space="preserve">
Future value of project based on assumed escalation rate.
</t>
        </r>
      </text>
    </comment>
    <comment ref="I43" authorId="1" shapeId="0">
      <text>
        <r>
          <rPr>
            <b/>
            <sz val="9"/>
            <color indexed="81"/>
            <rFont val="Tahoma"/>
            <family val="2"/>
          </rPr>
          <t>Natalie Reilly:</t>
        </r>
        <r>
          <rPr>
            <sz val="9"/>
            <color indexed="81"/>
            <rFont val="Tahoma"/>
            <family val="2"/>
          </rPr>
          <t xml:space="preserve">
Input actual construction cost
</t>
        </r>
      </text>
    </comment>
  </commentList>
</comments>
</file>

<file path=xl/comments6.xml><?xml version="1.0" encoding="utf-8"?>
<comments xmlns="http://schemas.openxmlformats.org/spreadsheetml/2006/main">
  <authors>
    <author>Meghann Chell</author>
    <author>Natalie Reilly</author>
  </authors>
  <commentList>
    <comment ref="A46" authorId="0" shapeId="0">
      <text>
        <r>
          <rPr>
            <b/>
            <sz val="9"/>
            <color indexed="81"/>
            <rFont val="Tahoma"/>
            <family val="2"/>
          </rPr>
          <t>Meghann Chell:</t>
        </r>
        <r>
          <rPr>
            <sz val="9"/>
            <color indexed="81"/>
            <rFont val="Tahoma"/>
            <family val="2"/>
          </rPr>
          <t xml:space="preserve">
Project number that ties back to estimate source for ease of updating.</t>
        </r>
      </text>
    </comment>
    <comment ref="B46" authorId="0" shapeId="0">
      <text>
        <r>
          <rPr>
            <b/>
            <sz val="9"/>
            <color indexed="81"/>
            <rFont val="Tahoma"/>
            <family val="2"/>
          </rPr>
          <t>Meghann Chell:</t>
        </r>
        <r>
          <rPr>
            <sz val="9"/>
            <color indexed="81"/>
            <rFont val="Tahoma"/>
            <family val="2"/>
          </rPr>
          <t xml:space="preserve">
Project name.  Each ties into individual project sheets.
</t>
        </r>
      </text>
    </comment>
    <comment ref="C46" authorId="0" shapeId="0">
      <text>
        <r>
          <rPr>
            <b/>
            <sz val="9"/>
            <color indexed="81"/>
            <rFont val="Tahoma"/>
            <family val="2"/>
          </rPr>
          <t>Meghann Chell:</t>
        </r>
        <r>
          <rPr>
            <sz val="9"/>
            <color indexed="81"/>
            <rFont val="Tahoma"/>
            <family val="2"/>
          </rPr>
          <t xml:space="preserve">
Identifies WTP plant system assocaited with task</t>
        </r>
      </text>
    </comment>
    <comment ref="D46" authorId="0" shapeId="0">
      <text>
        <r>
          <rPr>
            <b/>
            <sz val="9"/>
            <color indexed="81"/>
            <rFont val="Tahoma"/>
            <family val="2"/>
          </rPr>
          <t>Meghann Chell:</t>
        </r>
        <r>
          <rPr>
            <sz val="9"/>
            <color indexed="81"/>
            <rFont val="Tahoma"/>
            <family val="2"/>
          </rPr>
          <t xml:space="preserve">
Description of task scope used to develop estimate.</t>
        </r>
      </text>
    </comment>
    <comment ref="E46" authorId="1" shapeId="0">
      <text>
        <r>
          <rPr>
            <b/>
            <sz val="9"/>
            <color indexed="81"/>
            <rFont val="Tahoma"/>
            <family val="2"/>
          </rPr>
          <t>Natalie Reilly:</t>
        </r>
        <r>
          <rPr>
            <sz val="9"/>
            <color indexed="81"/>
            <rFont val="Tahoma"/>
            <family val="2"/>
          </rPr>
          <t xml:space="preserve">
Estimated Construction Cost from OPCC and Cost Factoring Workbook. Editable in CIP Full Sheet.</t>
        </r>
      </text>
    </comment>
    <comment ref="F46" authorId="0" shapeId="0">
      <text>
        <r>
          <rPr>
            <b/>
            <sz val="9"/>
            <color indexed="81"/>
            <rFont val="Tahoma"/>
            <family val="2"/>
          </rPr>
          <t>Meghann Chell:</t>
        </r>
        <r>
          <rPr>
            <sz val="9"/>
            <color indexed="81"/>
            <rFont val="Tahoma"/>
            <family val="2"/>
          </rPr>
          <t xml:space="preserve">
YES - Design and Admin Contingency added
NO - Only Admin Contingency added
Editable in CIP Full Sheet</t>
        </r>
      </text>
    </comment>
    <comment ref="H46" authorId="0" shapeId="0">
      <text>
        <r>
          <rPr>
            <b/>
            <sz val="9"/>
            <color indexed="81"/>
            <rFont val="Tahoma"/>
            <family val="2"/>
          </rPr>
          <t>Meghann Chell:</t>
        </r>
        <r>
          <rPr>
            <sz val="9"/>
            <color indexed="81"/>
            <rFont val="Tahoma"/>
            <family val="2"/>
          </rPr>
          <t xml:space="preserve">
Future value of project based on assumed escalation rate.
</t>
        </r>
      </text>
    </comment>
    <comment ref="I46" authorId="1" shapeId="0">
      <text>
        <r>
          <rPr>
            <b/>
            <sz val="9"/>
            <color indexed="81"/>
            <rFont val="Tahoma"/>
            <family val="2"/>
          </rPr>
          <t>Natalie Reilly:</t>
        </r>
        <r>
          <rPr>
            <sz val="9"/>
            <color indexed="81"/>
            <rFont val="Tahoma"/>
            <family val="2"/>
          </rPr>
          <t xml:space="preserve">
Input actual construction cost
</t>
        </r>
      </text>
    </comment>
  </commentList>
</comments>
</file>

<file path=xl/comments7.xml><?xml version="1.0" encoding="utf-8"?>
<comments xmlns="http://schemas.openxmlformats.org/spreadsheetml/2006/main">
  <authors>
    <author>Meghann Chell</author>
    <author>Natalie Reilly</author>
  </authors>
  <commentList>
    <comment ref="A11" authorId="0" shapeId="0">
      <text>
        <r>
          <rPr>
            <b/>
            <sz val="9"/>
            <color indexed="81"/>
            <rFont val="Tahoma"/>
            <family val="2"/>
          </rPr>
          <t>Meghann Chell:</t>
        </r>
        <r>
          <rPr>
            <sz val="9"/>
            <color indexed="81"/>
            <rFont val="Tahoma"/>
            <family val="2"/>
          </rPr>
          <t xml:space="preserve">
Project number that ties back to estimate source for ease of updating.</t>
        </r>
      </text>
    </comment>
    <comment ref="B11" authorId="0" shapeId="0">
      <text>
        <r>
          <rPr>
            <b/>
            <sz val="9"/>
            <color indexed="81"/>
            <rFont val="Tahoma"/>
            <family val="2"/>
          </rPr>
          <t>Meghann Chell:</t>
        </r>
        <r>
          <rPr>
            <sz val="9"/>
            <color indexed="81"/>
            <rFont val="Tahoma"/>
            <family val="2"/>
          </rPr>
          <t xml:space="preserve">
Project name.  Each ties into individual project sheets.
</t>
        </r>
      </text>
    </comment>
    <comment ref="C11" authorId="0" shapeId="0">
      <text>
        <r>
          <rPr>
            <b/>
            <sz val="9"/>
            <color indexed="81"/>
            <rFont val="Tahoma"/>
            <family val="2"/>
          </rPr>
          <t>Meghann Chell:</t>
        </r>
        <r>
          <rPr>
            <sz val="9"/>
            <color indexed="81"/>
            <rFont val="Tahoma"/>
            <family val="2"/>
          </rPr>
          <t xml:space="preserve">
Identifies WTP plant system associated with task.</t>
        </r>
      </text>
    </comment>
    <comment ref="D11" authorId="0" shapeId="0">
      <text>
        <r>
          <rPr>
            <b/>
            <sz val="9"/>
            <color indexed="81"/>
            <rFont val="Tahoma"/>
            <family val="2"/>
          </rPr>
          <t>Meghann Chell:</t>
        </r>
        <r>
          <rPr>
            <sz val="9"/>
            <color indexed="81"/>
            <rFont val="Tahoma"/>
            <family val="2"/>
          </rPr>
          <t xml:space="preserve">
Description of task scope used to develop estimate.</t>
        </r>
      </text>
    </comment>
    <comment ref="E11" authorId="1" shapeId="0">
      <text>
        <r>
          <rPr>
            <b/>
            <sz val="9"/>
            <color indexed="81"/>
            <rFont val="Tahoma"/>
            <family val="2"/>
          </rPr>
          <t>Natalie Reilly:</t>
        </r>
        <r>
          <rPr>
            <sz val="9"/>
            <color indexed="81"/>
            <rFont val="Tahoma"/>
            <family val="2"/>
          </rPr>
          <t xml:space="preserve">
Estimated Construction Cost from OPCC and Cost Factoring Workbook.</t>
        </r>
      </text>
    </comment>
    <comment ref="F11" authorId="0" shapeId="0">
      <text>
        <r>
          <rPr>
            <b/>
            <sz val="9"/>
            <color indexed="81"/>
            <rFont val="Tahoma"/>
            <family val="2"/>
          </rPr>
          <t>Meghann Chell:</t>
        </r>
        <r>
          <rPr>
            <sz val="9"/>
            <color indexed="81"/>
            <rFont val="Tahoma"/>
            <family val="2"/>
          </rPr>
          <t xml:space="preserve">
Yes - Design and Admin Contingency added
No - Only Admin Contingency added
</t>
        </r>
      </text>
    </comment>
    <comment ref="H11" authorId="0" shapeId="0">
      <text>
        <r>
          <rPr>
            <b/>
            <sz val="9"/>
            <color indexed="81"/>
            <rFont val="Tahoma"/>
            <family val="2"/>
          </rPr>
          <t>Meghann Chell:</t>
        </r>
        <r>
          <rPr>
            <sz val="9"/>
            <color indexed="81"/>
            <rFont val="Tahoma"/>
            <family val="2"/>
          </rPr>
          <t xml:space="preserve">
Estimated year that project comes online.
</t>
        </r>
      </text>
    </comment>
    <comment ref="I11" authorId="0" shapeId="0">
      <text>
        <r>
          <rPr>
            <b/>
            <sz val="9"/>
            <color indexed="81"/>
            <rFont val="Tahoma"/>
            <family val="2"/>
          </rPr>
          <t>Meghann Chell:</t>
        </r>
        <r>
          <rPr>
            <sz val="9"/>
            <color indexed="81"/>
            <rFont val="Tahoma"/>
            <family val="2"/>
          </rPr>
          <t xml:space="preserve">
Future value of project based on assumed escalation rate.
</t>
        </r>
      </text>
    </comment>
    <comment ref="J11" authorId="1" shapeId="0">
      <text>
        <r>
          <rPr>
            <b/>
            <sz val="9"/>
            <color indexed="81"/>
            <rFont val="Tahoma"/>
            <family val="2"/>
          </rPr>
          <t>Natalie Reilly:</t>
        </r>
        <r>
          <rPr>
            <sz val="9"/>
            <color indexed="81"/>
            <rFont val="Tahoma"/>
            <family val="2"/>
          </rPr>
          <t xml:space="preserve">
Input actual construction cost
</t>
        </r>
      </text>
    </comment>
    <comment ref="C47" authorId="0" shapeId="0">
      <text>
        <r>
          <rPr>
            <b/>
            <sz val="9"/>
            <color indexed="81"/>
            <rFont val="Tahoma"/>
            <family val="2"/>
          </rPr>
          <t>Meghann Chell:</t>
        </r>
        <r>
          <rPr>
            <sz val="9"/>
            <color indexed="81"/>
            <rFont val="Tahoma"/>
            <family val="2"/>
          </rPr>
          <t xml:space="preserve">
Change to plant-wide?</t>
        </r>
      </text>
    </comment>
  </commentList>
</comments>
</file>

<file path=xl/comments8.xml><?xml version="1.0" encoding="utf-8"?>
<comments xmlns="http://schemas.openxmlformats.org/spreadsheetml/2006/main">
  <authors>
    <author>Meghann Chell</author>
  </authors>
  <commentList>
    <comment ref="C2" authorId="0" shapeId="0">
      <text>
        <r>
          <rPr>
            <b/>
            <sz val="9"/>
            <color indexed="81"/>
            <rFont val="Tahoma"/>
            <family val="2"/>
          </rPr>
          <t>Meghann Chell:</t>
        </r>
        <r>
          <rPr>
            <sz val="9"/>
            <color indexed="81"/>
            <rFont val="Tahoma"/>
            <family val="2"/>
          </rPr>
          <t xml:space="preserve">
Enter value from 0 to 100 here</t>
        </r>
      </text>
    </comment>
    <comment ref="D2" authorId="0" shapeId="0">
      <text>
        <r>
          <rPr>
            <b/>
            <sz val="9"/>
            <color indexed="81"/>
            <rFont val="Tahoma"/>
            <family val="2"/>
          </rPr>
          <t>Meghann Chell:</t>
        </r>
        <r>
          <rPr>
            <sz val="9"/>
            <color indexed="81"/>
            <rFont val="Tahoma"/>
            <family val="2"/>
          </rPr>
          <t xml:space="preserve">
Calculated based on the Wilsonville value</t>
        </r>
      </text>
    </comment>
  </commentList>
</comments>
</file>

<file path=xl/comments9.xml><?xml version="1.0" encoding="utf-8"?>
<comments xmlns="http://schemas.openxmlformats.org/spreadsheetml/2006/main">
  <authors>
    <author>Natalie Reilly</author>
  </authors>
  <commentList>
    <comment ref="C29" authorId="0" shapeId="0">
      <text>
        <r>
          <rPr>
            <b/>
            <sz val="9"/>
            <color indexed="81"/>
            <rFont val="Tahoma"/>
            <family val="2"/>
          </rPr>
          <t>Natalie Reilly:</t>
        </r>
        <r>
          <rPr>
            <sz val="9"/>
            <color indexed="81"/>
            <rFont val="Tahoma"/>
            <family val="2"/>
          </rPr>
          <t xml:space="preserve">
The percent responsibility for each stakeholder is stipulated on the ReadMe sheet. Change the percent in this column to hard-enter another value for one of the projects.</t>
        </r>
      </text>
    </comment>
  </commentList>
</comments>
</file>

<file path=xl/sharedStrings.xml><?xml version="1.0" encoding="utf-8"?>
<sst xmlns="http://schemas.openxmlformats.org/spreadsheetml/2006/main" count="1134" uniqueCount="359">
  <si>
    <t>Capital Improvement Projects Summary</t>
  </si>
  <si>
    <t>TOTAL COSTS</t>
  </si>
  <si>
    <t>(1)</t>
  </si>
  <si>
    <t>Notes:</t>
  </si>
  <si>
    <t>Total</t>
  </si>
  <si>
    <t>Construction</t>
  </si>
  <si>
    <t>FY</t>
  </si>
  <si>
    <t>PROJECT</t>
  </si>
  <si>
    <t>Stakeholders</t>
  </si>
  <si>
    <t>No</t>
  </si>
  <si>
    <t>Yes</t>
  </si>
  <si>
    <t>Design Start</t>
  </si>
  <si>
    <t>Construction Start</t>
  </si>
  <si>
    <t>P#</t>
  </si>
  <si>
    <t>Raw Water Pump Station</t>
  </si>
  <si>
    <t xml:space="preserve">General Notes: </t>
  </si>
  <si>
    <t>Purple tabs summarize financial information in either tabular or graphical format.</t>
  </si>
  <si>
    <t>This eCIP calculates the CIP costs within the planning horizon by allocating project costs between construction start/end dates.</t>
  </si>
  <si>
    <t>The eCIP content falls within one of three categories, represented by tab color:</t>
  </si>
  <si>
    <t>Worksheet Summary:</t>
  </si>
  <si>
    <t>Charts</t>
  </si>
  <si>
    <t>Input Variables:</t>
  </si>
  <si>
    <t>Varible</t>
  </si>
  <si>
    <t>Worksheet</t>
  </si>
  <si>
    <t>Comments</t>
  </si>
  <si>
    <t>General Notes:</t>
  </si>
  <si>
    <r>
      <t>Black</t>
    </r>
    <r>
      <rPr>
        <sz val="10"/>
        <rFont val="Arial"/>
        <family val="2"/>
      </rPr>
      <t xml:space="preserve"> cells are automatically calculated and should not be changed.</t>
    </r>
  </si>
  <si>
    <t>Need Help?  Please contact Carollo Engineers at 503.227.1885 for assistance.</t>
  </si>
  <si>
    <t>Project Description</t>
  </si>
  <si>
    <t>General Assumptions:</t>
  </si>
  <si>
    <t>Estimate Date</t>
  </si>
  <si>
    <t>ENR @ Date</t>
  </si>
  <si>
    <t>Red tabs represent Work where the User can enter values.</t>
  </si>
  <si>
    <r>
      <rPr>
        <b/>
        <sz val="10"/>
        <color rgb="FFFF0000"/>
        <rFont val="Arial"/>
        <family val="2"/>
      </rPr>
      <t>Red</t>
    </r>
    <r>
      <rPr>
        <sz val="10"/>
        <rFont val="Arial"/>
        <family val="2"/>
      </rPr>
      <t xml:space="preserve"> cells/values can be changed to update the CIP.</t>
    </r>
  </si>
  <si>
    <t>System Name</t>
  </si>
  <si>
    <t>Actiflo™</t>
  </si>
  <si>
    <t>Install second flash mix pump to give system installed redundancy (1+1) rather than shelf spare.</t>
  </si>
  <si>
    <t>Purchase additional shelf spare solid pump</t>
  </si>
  <si>
    <t>Chemical Storage/ Ozone Generation</t>
  </si>
  <si>
    <t>On existing hypochlorite system, add ventilation line that returns to tank to prevent offgassing to atmosphere.</t>
  </si>
  <si>
    <t>On all existing chemical systems, add wye or basket strainers to all pump suction lines</t>
  </si>
  <si>
    <t>Electrical</t>
  </si>
  <si>
    <t>Install 15 KV/1,200 A metering/distribution switchgear</t>
  </si>
  <si>
    <t>Install new 5,000 KVA transformer to control power distribution to raw and finished water pumps</t>
  </si>
  <si>
    <t>Rewire existing electrical system to install new switchgear and transformer, connect all raw and finished water pumps to new transformer, connect new 2 MW emergency generator to switchgear, and upgrade existing electrical connections as needed to support new layout.</t>
  </si>
  <si>
    <t>Replace existing 1 MW generator with 2 MW generator</t>
  </si>
  <si>
    <t>Finished Water Pump Station</t>
  </si>
  <si>
    <t>Replace existing 4 MGD pump with 7.5 MGD pump to ensure plant meets 20 MGD firm capacity.  Alternately, install a fifth pump that is at least 5 MGD.</t>
  </si>
  <si>
    <t>Ozonation</t>
  </si>
  <si>
    <t>Replace the diffusers in the two existing ozone basins to support 30 MGD capacity expansion</t>
  </si>
  <si>
    <t>Replace existing 4 MGD pump with 7.5 MGD pump to ensure plant meets 20 MGD firm capacity with three dedicated pumps</t>
  </si>
  <si>
    <t>Sitewide</t>
  </si>
  <si>
    <t>Sitewide lighting upgrade to support continued nighttime operations.  For purpose of cost estimate, assuming that sitewide external lighting is replaced with high efficiency LED system.</t>
  </si>
  <si>
    <t>Solids - Gravity Thickener</t>
  </si>
  <si>
    <t>Construct an additional Actiflo basin for the 30 MGD capacity upgrade.  With the addition of a third basin, the WRWTP will have three 10 MGD basins and can run two basins at 15 MGD in the event one basin requires maintenance.</t>
  </si>
  <si>
    <t>Replace existing 6,000 gallon LOX storage tank with larger tank (12,000 to 15,000 gallons) to ensure sufficient storage with 20 MGD plant capacity.  Recommend purchasing LOX tank (rather than leasing from vendor) so LOX can be purchased from different vendors.</t>
  </si>
  <si>
    <t>Install a second dry polymer feeder to provide redundancy to plant chemical operations</t>
  </si>
  <si>
    <t>Install a third 400 PPD ozone generator to support plant capacity expansion</t>
  </si>
  <si>
    <t>Convert hypochlorite system from liquid chemical storage to dry sodium hypochlorite process system for increased storage capacity and plant resiliency.</t>
  </si>
  <si>
    <t>Modify existing Chemical Storage Room to increase usable space for existing chemical systems.  Recommendations include installation of roll-up door, removal of aqueous ammonia system, modifications necessary to expand hypochlorite system, and modifications to chemical containment to allow additional tanks.</t>
  </si>
  <si>
    <t>Filters</t>
  </si>
  <si>
    <t>Construct two new media filters to support plant expansion to 30 MGD</t>
  </si>
  <si>
    <t>Upgrade three existing 7.5 MGD finished water pumps with three 12 MGD pumps</t>
  </si>
  <si>
    <t>Install a fifth finished water pump as part of the 30 MGD upgrade.  Recommend 7.5 MGD pump (only valid if not installed during 20 MGD expansion)</t>
  </si>
  <si>
    <t>Construct a third ozone basin and gallery to support 30 MGD expansion</t>
  </si>
  <si>
    <t>Solids - Dewatering</t>
  </si>
  <si>
    <t>Install a third 60 GPM centrifuge and solids transfer pump to support the 30 MGD plant expansion</t>
  </si>
  <si>
    <t>Construct a second 35-ft diameter gravity thickener to support the 30 MGD plant expansion and provide solids handling redundancy</t>
  </si>
  <si>
    <t>WWEQ Basin</t>
  </si>
  <si>
    <t>Install fourth washwater recycle pump for additional redundancy at 30 MGD expansion</t>
  </si>
  <si>
    <t>Exterior stair guardrail height is less than 42” and has no dedicated handrail. Replace with current code-compliant installation. (LS3)</t>
  </si>
  <si>
    <t>Life-Safety Repairs</t>
  </si>
  <si>
    <t>Active leaks observed in the ozone gallery, creating a slip hazard.  Pressure inject hydrophobic sealant into active leaks.  Leaking joints may require negative side joint covers. (LS9)</t>
  </si>
  <si>
    <t>The rated electrical service is 1200 amps or greater requiring two exits with panic hardware.  Install panic hardware on doors. (LS4)</t>
  </si>
  <si>
    <t>The west guardrail on top of the Actiflo™ tanks does not have continuous kickplates.  Install new kickplates as required.  (LS8)</t>
  </si>
  <si>
    <t>Electrical outlets on gallery walls are in a wet area.  Replace with GFCI protected outlets. (LS10)</t>
  </si>
  <si>
    <t>The doors were propped open and appear to be their normal position. Suspect that ventilation in the room is not adequate. Investigate ventilation and correct as required at Actiflo™ building. (LS7)</t>
  </si>
  <si>
    <t>The chemical pipes that run through the center of the Chemical Storage Room are not seismically braced.  Ozone and LOX piping in the Ozone Generation Room are not sesimically braced.  Provide seismic bracing for these lines. (LS19, LS20)</t>
  </si>
  <si>
    <t>Color-coded NFPA placards have faded.  Replace all faded NFPA placards (LS2)</t>
  </si>
  <si>
    <t>Chemical Storage and Ozone Generation Rooms are Group H occupancy or rated electrical service of 1200 A.  Install panic hardware on three exit doors in the chemical storage and ozone generation building. (LS4; LS5)</t>
  </si>
  <si>
    <t>Change swing direction on exit door between the ozone generation and administration building (LS5)</t>
  </si>
  <si>
    <t>Chemical lines pass above egress routes.  Add containment pans to chemical conveyance lines that are located above doorways in the chemical storage and ozone generation building (LS6)</t>
  </si>
  <si>
    <t>Install emergency shut-off at the two other exits in the Ozone Generation Room exits (LS15)</t>
  </si>
  <si>
    <t>The west guardrail on top of the the Filter ladder pit does not have continuous kickplates.  Install new kickplates as required.  (LS8)</t>
  </si>
  <si>
    <t>Add a fire-rated door at the bottom of the filter gallery stairs and add signage to existing ladder pit door to clarify that it is not an exit. (LS12)</t>
  </si>
  <si>
    <t>The doors for various rooms were propped open and appear to be their normal position. Suspect that ventilation in the room is not adequate. Investigate ventilation and correct as required in the air scour blower room. (LS7)</t>
  </si>
  <si>
    <t>The cable trays lack longitudinal bracing.  Add bracing to existing cable trays.  (LS18)</t>
  </si>
  <si>
    <t>Switchgear Room has rated electrical service is 1200 amps or greater requiring two exits with panic hardware.  Install panic hardware on doors. (LS4)</t>
  </si>
  <si>
    <t>The ozone destruct pipe on the top side is not seismically braced or marked.  Add chemical service label and provide seismic bracing down to the concrete deck. (LS17)</t>
  </si>
  <si>
    <t>The south stairwell does not have any ventilation system serving it directly. Investigate and repair as required. (LS11)</t>
  </si>
  <si>
    <t>The space heaters throughout the plant are laterally braced above their center of gravity. The space heaters at the Switchgear Room are not braced.  Provide additional seismic bracing to approximately eight locations. (LS16)</t>
  </si>
  <si>
    <t>Tread plate hatches do not have provisions for installing temporary fall protection barriers.  Install sleeves or other hardware for temporary fall protection. (LS1)</t>
  </si>
  <si>
    <t>The Solids Handling Building roof does not appear to have an overflow scupper.  Provide an overflow scupper with downspout.  (LS14)</t>
  </si>
  <si>
    <t>Verify how fall restraint is provided when using the ladder into the waste washwaster equalization basin and provide additional hardware as required. (LS13)</t>
  </si>
  <si>
    <t>The doors for various rooms were propped open and appear to be their normal position. Suspect that ventilation in the room is not adequate. Investigate ventilation and correct as required at waste washwater equalization basin. (LS7)</t>
  </si>
  <si>
    <t>Replace the four hydrocyclones installed in the two existing Actiflo Basins</t>
  </si>
  <si>
    <t>Repair &amp; Replace</t>
  </si>
  <si>
    <t>Replace existing streaming current analyzer on Actiflo inlet</t>
  </si>
  <si>
    <t>Replace lamella settling tubes in the two existing Actiflo basins, which are damaged due to UV exposure.</t>
  </si>
  <si>
    <t>Upgrade vendor PLC components in the two existing Actiflo basins</t>
  </si>
  <si>
    <t>Replace the two flash mix pumps (installed and standby)</t>
  </si>
  <si>
    <t>Replace the six mixers installed in the two existing Actiflo Basins</t>
  </si>
  <si>
    <t>Replace the two sample pumps installed in the two existing Actiflo Basins</t>
  </si>
  <si>
    <t>Replace original dry polymer batching system (T-13ME01)</t>
  </si>
  <si>
    <t>PLC upgrade for Actiflo Local Control Panels</t>
  </si>
  <si>
    <t>Replace the five solids pumps (installed and standby) on the existing Actiflo basins</t>
  </si>
  <si>
    <t>Replace the two installed flash mix pumps</t>
  </si>
  <si>
    <t>Upgrade vendor PLC components in the existing dry polymer blending unit</t>
  </si>
  <si>
    <t>Replate two existing 300 PPD ozone generators with 400 PPD units</t>
  </si>
  <si>
    <t>Replace existing 4,400 gallon XLPE sodium hypochlorite tank with a 3,900 gallon tank</t>
  </si>
  <si>
    <t>Inspect existing alum tank and repair as needed</t>
  </si>
  <si>
    <t>Inspect existing caustic soda tank and repair as needed</t>
  </si>
  <si>
    <t>Replace the LOX evaporator equipment</t>
  </si>
  <si>
    <t>Replace existing air scour blowers and motors on existing media filtration system</t>
  </si>
  <si>
    <t>Upgrade electrical wiring as necessary to support plant-wide electrical upgrades</t>
  </si>
  <si>
    <t>Replace aging MCC in existing filter gallery</t>
  </si>
  <si>
    <t>Replace air scour blowers and motors on existing media filtration system</t>
  </si>
  <si>
    <t>Replace existing soft-start controller on High Service Pump 3</t>
  </si>
  <si>
    <t>Replace two existing backwash supply pumps in the Wastewater Equalization Basin</t>
  </si>
  <si>
    <t>Miscellaneous</t>
  </si>
  <si>
    <t>Replace the existing safety and warning signs throughout the site</t>
  </si>
  <si>
    <t>Replace sitewide fire extinguishers</t>
  </si>
  <si>
    <t>Replace the two existing irrigation waste pumps (T-30P01/2)</t>
  </si>
  <si>
    <t>Replace the two existing water feature pumps (T-30P01/2)</t>
  </si>
  <si>
    <t>Replace existing raw water sump pump</t>
  </si>
  <si>
    <t>Replace osbsolete Robocon VFDs on three Raw Water Pumps</t>
  </si>
  <si>
    <t>Replace two existing Air Burst Compressors</t>
  </si>
  <si>
    <t>Replace existing air burst control panel PLC and local control panel</t>
  </si>
  <si>
    <t>Replace obsolete ABB magnetic flow meters installed throughout the WRWTP and at Wilsonville Road</t>
  </si>
  <si>
    <t>Replace the existing dewatered sludge screw conveyor in the Solids Handling Building</t>
  </si>
  <si>
    <t>Replace existing PLC and local control panel for two dewatering centrifuges</t>
  </si>
  <si>
    <t xml:space="preserve">Replace two existing 60 GPM solids transfer pumps </t>
  </si>
  <si>
    <t>Replace two existing sludge mixing pumps (one installed, one shelf spare)</t>
  </si>
  <si>
    <t>Replace the two existing sludge mixing pumps</t>
  </si>
  <si>
    <t>Replace the existing gravity thickener drive</t>
  </si>
  <si>
    <t xml:space="preserve">Replace three existing filter waste washwater recycle pumps </t>
  </si>
  <si>
    <t>Modifications necessary to support chemical pipelines along western WWEQ Basin wall</t>
  </si>
  <si>
    <t>The roof joist wall anchorage along the east and west walls of the High Service PS have a DCR of 1.55.  Add new wall anchorage along the east and west walls between the existing roof joists. (S3)</t>
  </si>
  <si>
    <t>Seismic Retrofits</t>
  </si>
  <si>
    <t>The roof diaphragm shear at the High Service PS has a DCR of 1.82 to 2.25. Replace existing deficient deck sections with 16 GA corrugated steel decking. (S4)</t>
  </si>
  <si>
    <t>Tension capacity of the diaphragm chords at the High Service PS has a DCR of 1.20 at connections at the east windows. Strengthen chord splices as required. (S5)</t>
  </si>
  <si>
    <t>Roof deck shear transfer to interior wall ledger bolts at the High Service PS have DCR’s of 3.20 to 3.90.  Add new top plate over exterior shear wall and install epoxied anchors.  (S6)</t>
  </si>
  <si>
    <t>The Solids Handling Building has no lateral load resisting system in the transverse direction at the lower level.  Provide structural bracing in the east-west direction by installation of shear wall extensions or exterior steel bracing. (S7)</t>
  </si>
  <si>
    <t>The roof joist wall anchorage along the east and west walls of the Solids Handling Building have a DCR of 1.17.  Add new wall anchorage along the east and west walls between the existing roof joists. (S8)</t>
  </si>
  <si>
    <t>The foundation elements at the Solids Handling Building do not have adequate ties. The floor slab is not doweled into the walls or the footings. Tie the existing slab to the walls with stainless steel angles and epoxy anchors. (S9)</t>
  </si>
  <si>
    <t>Waste Washwater EQ Basin North &amp; South Walls: Horizontal reinforcing steel at east corners (#8 @ 12” OC) have a DCR of 1.53 for soil seismic loads.  Recommend adding additional reinforced shotcrete to wall or adding three concete/steel braces across the basin.  (S1)</t>
  </si>
  <si>
    <t>Waste Washwater EQ Basin North &amp; South Walls: Wall shear at the concrete beam has a DCR of 1.67 for soil seismic loads.  Recommend addition of reinforced shotcrete to wall or addition of concrete/steel braces across the basin. (S2)</t>
  </si>
  <si>
    <t>Future Value in Approx. Project Year</t>
  </si>
  <si>
    <t>Year</t>
  </si>
  <si>
    <t>Replace 6,000-gallon rented LOX tank with larger tank</t>
  </si>
  <si>
    <t>Design Contingency</t>
  </si>
  <si>
    <t>Admin Contingency</t>
  </si>
  <si>
    <t>(For Engineering Design)</t>
  </si>
  <si>
    <t>(For Legal and Administration)</t>
  </si>
  <si>
    <t>CIP Project Stage</t>
  </si>
  <si>
    <t>CIP - Task Description</t>
  </si>
  <si>
    <t>Design Project?</t>
  </si>
  <si>
    <t>Upgrade site security monitoring system camera and computer</t>
  </si>
  <si>
    <t>Annual maintenance on the existing site fire alarm</t>
  </si>
  <si>
    <t>Annual maintenance on the existing site sprinkler system</t>
  </si>
  <si>
    <t>Replace two existing 60 GPM centrifuges and transfer pumps</t>
  </si>
  <si>
    <t>Estimated Construction Cost</t>
  </si>
  <si>
    <r>
      <t>Estimated Task Cost</t>
    </r>
    <r>
      <rPr>
        <b/>
        <vertAlign val="superscript"/>
        <sz val="11"/>
        <rFont val="Arial"/>
        <family val="2"/>
      </rPr>
      <t>(1)</t>
    </r>
  </si>
  <si>
    <t>Life Safety Repairs</t>
  </si>
  <si>
    <t>City of Wilsonville</t>
  </si>
  <si>
    <t>City of Sherwood</t>
  </si>
  <si>
    <t>Operations - Repair &amp; Replace</t>
  </si>
  <si>
    <t>CAPITAL IMPROVEMENT PROGRAM UPDATE</t>
  </si>
  <si>
    <t>Capacity Improvement</t>
  </si>
  <si>
    <t>CIP Project Stage #</t>
  </si>
  <si>
    <t>ENR @ Revised Estimate Date</t>
  </si>
  <si>
    <t>Type of Cost Projection</t>
  </si>
  <si>
    <t xml:space="preserve">Project Start Year </t>
  </si>
  <si>
    <t>Revised Estimate Date</t>
  </si>
  <si>
    <t>WILLAMETTE RIVER WATER TREATMENT PLANT</t>
  </si>
  <si>
    <t>Repair &amp; Replace Total</t>
  </si>
  <si>
    <t>Escalation</t>
  </si>
  <si>
    <t>Project Completion Year</t>
  </si>
  <si>
    <t>TOTAL</t>
  </si>
  <si>
    <t>Actual Construction Cost</t>
  </si>
  <si>
    <t>Provides a general overview of the eCIP, including input variables. Also, primarily used to enter values for project cost and schedule.</t>
  </si>
  <si>
    <t>Renewal and Replacement</t>
  </si>
  <si>
    <t>Risk Mitigation</t>
  </si>
  <si>
    <t>Escalation Rate</t>
  </si>
  <si>
    <t>(ENR at the revised estimate date)</t>
  </si>
  <si>
    <t>Provides a project summary for individual projects.  These worksheets have been organized to be 'printer friendly',</t>
  </si>
  <si>
    <t>Green tabs summarize project details, including scope, schedule and fee, and are paginated for easy printing.</t>
  </si>
  <si>
    <t>CIP Summary</t>
  </si>
  <si>
    <t>P1 - 20 MGD Expansion</t>
  </si>
  <si>
    <t>Willamette River Water Treatment Plant - 2017 Master Plan Update</t>
  </si>
  <si>
    <t>(2)</t>
  </si>
  <si>
    <t xml:space="preserve">All costs in the CIP Summary table are rounded up to nearest $10,000.  For more detailed costs, see the CIP Full table.  </t>
  </si>
  <si>
    <t>ReadMe</t>
  </si>
  <si>
    <t>Provides instructions on how to use the workbook as well as a list of user-inputed variables.</t>
  </si>
  <si>
    <t>If "Escalation", project costs are calculated using escalation rate selected on this sheet. If "Revised ENR", project costs are calculated using ratio of "ENR @ Date" and "ENR @ Revised Estimate Date" and escalation rate beyond "Revised Estimate Date".</t>
  </si>
  <si>
    <t>Assumed Project Duration based on Design Duration, Construction Duration, and Schedule Float</t>
  </si>
  <si>
    <t>Project Duration</t>
  </si>
  <si>
    <t>Project Duration (red)</t>
  </si>
  <si>
    <t>Use this column to manually change project duration. If not manually changing project duration, value in cell must be "0"</t>
  </si>
  <si>
    <t>Sums actual construction costs that were entered on project sheets.</t>
  </si>
  <si>
    <t>Column Header</t>
  </si>
  <si>
    <t>Comment/Instructions</t>
  </si>
  <si>
    <t>Sheet</t>
  </si>
  <si>
    <t>User-Entered Field?</t>
  </si>
  <si>
    <t>CIP Full</t>
  </si>
  <si>
    <t>Project number that ties back to estimate source for ease of updating.</t>
  </si>
  <si>
    <t>Identifies WTP plant system assocaited with task</t>
  </si>
  <si>
    <t>Description of task scope used to develop estimate.</t>
  </si>
  <si>
    <t>Estimated Construction Cost from OPCC and Cost Factoring Workbook.</t>
  </si>
  <si>
    <t>Yes - Design and Admin Contingency added; No - Only Admin Contingency added</t>
  </si>
  <si>
    <t>Design Duration</t>
  </si>
  <si>
    <t>Construction Duration</t>
  </si>
  <si>
    <t>Schedule Float</t>
  </si>
  <si>
    <t>No (CIP Summary) / Yes(CIP Full)</t>
  </si>
  <si>
    <t>Design start date caluclated based on Assumed Project Year, Design Duration, Construction Duration, and Float. R&amp;R Tasks can be edited.</t>
  </si>
  <si>
    <t>Construction start date caluclated based on Assumed Project Year, Construction Duration, and Float.</t>
  </si>
  <si>
    <t>Design start date caluclated based on Assumed Project Year, Design Duration, Construction Duration, and Float.</t>
  </si>
  <si>
    <t>Construction start date caluclated based on Assumed Project Year, Construction Duration, and Float. R&amp;R Tasks can be edited.</t>
  </si>
  <si>
    <t>20 MGD Expansion</t>
  </si>
  <si>
    <t>30 MGD Expansion</t>
  </si>
  <si>
    <t>Ongoing Repair and Replacement Activities Summary (by Project Completion Year)</t>
  </si>
  <si>
    <t>Project Title</t>
  </si>
  <si>
    <t>Project Category</t>
  </si>
  <si>
    <t>The preliminary life-safety analysis identified issues about building code compliance and structural improvements. This 2017 MPU recommends modifications to support worker safety after a catastrophic seismic event.</t>
  </si>
  <si>
    <t xml:space="preserve">The preliminary structural analysis identified both structural and non-structural vulnerabilities that may affect plant performance in a regional catastrophic seismic event. We recommend including seismic retrofits to minimize infrastructure downtime and ensure plant performance after a catastrophic event. </t>
  </si>
  <si>
    <t>The WRWTP requires ongoing maintenance/repair and replacement (R&amp;R) of its existing infrastructure to meet service goals. This 2017 MPU summarizes repair and replacement projects for the next 20 years.</t>
  </si>
  <si>
    <t xml:space="preserve">To maximize the available space at the WRWTP with the goal of achieving a total capacity of 60 mgd in the existing site boundary, the 30-mgd capacity expansion will be designed based on updated process design criteria for the 20-mgd capacity expansion. This will allow the plant to maximize the available space at the WRWTP with the intention of achieving a total capacity of 60 mgd within the existing site boundary. Additionally, using the uprated criteria will allow the WRWTP to deliver high-quality finished water to the cities of Wilsonville, Sherwood, and any potential distribution partners while minimizing rate increases. The 30 mgd expansion requires the following major construction projects:
• One Actiflo® basin.
• One ozonation basin. 
• Two filters.
• One 35-foot diameter gravity thickener.
</t>
  </si>
  <si>
    <t>PROJECT NO. 1</t>
  </si>
  <si>
    <t>PROJECT NO. 3</t>
  </si>
  <si>
    <t>PROJECT NO. 4</t>
  </si>
  <si>
    <t>PROJECT NO. 5</t>
  </si>
  <si>
    <t>Repair &amp; Replace - Year 2</t>
  </si>
  <si>
    <t>Repair &amp; Replace - Year 3</t>
  </si>
  <si>
    <t>Repair &amp; Replace - Year 4</t>
  </si>
  <si>
    <t>Repair &amp; Replace - Year 5</t>
  </si>
  <si>
    <t>Repair &amp; Replace - Year 6</t>
  </si>
  <si>
    <t>Repair &amp; Replace - Year 7</t>
  </si>
  <si>
    <t>Repair &amp; Replace - Year 8</t>
  </si>
  <si>
    <t>Repair &amp; Replace - Year 9</t>
  </si>
  <si>
    <t>Repair &amp; Replace - Year 10</t>
  </si>
  <si>
    <t>Repair &amp; Replace - Year 11</t>
  </si>
  <si>
    <t>Repair &amp; Replace - Year 12</t>
  </si>
  <si>
    <t>Repair &amp; Replace - Year 13</t>
  </si>
  <si>
    <t>Repair &amp; Replace - Year 14</t>
  </si>
  <si>
    <t>Repair &amp; Replace - Year 15</t>
  </si>
  <si>
    <t>Repair &amp; Replace - Year 16</t>
  </si>
  <si>
    <t>Repair &amp; Replace - Year 17</t>
  </si>
  <si>
    <t>Repair &amp; Replace - Year 18</t>
  </si>
  <si>
    <t>City of Wilsonville Responsibility</t>
  </si>
  <si>
    <t>City of Sherwood Responsibility</t>
  </si>
  <si>
    <t>Notes</t>
  </si>
  <si>
    <t>For the Repair and Replace projects, the design and construction costs were assumed to be in the project completion year.</t>
  </si>
  <si>
    <t>(20-City Average ENR at the listed estimate date)</t>
  </si>
  <si>
    <t>(Date CIP estimate was generated.  Format: mm/dd/yyyy)</t>
  </si>
  <si>
    <t>(If revising the estimate table to a new date.  Format: mm/dd/yyyy)</t>
  </si>
  <si>
    <t>(Example:  1.03 = 3% inflation rate. Enter 1.00 for 2017 Dollars)</t>
  </si>
  <si>
    <t>Resp.</t>
  </si>
  <si>
    <t>Temporary pump station to supply 15 MGD from the WWSP Treatment Plant to the WRWTP distribution system in the event of a service distruption.</t>
  </si>
  <si>
    <t>allowing the User to quickly print a brief summary of project scope and schedule. Projects include:</t>
  </si>
  <si>
    <t>The year when the project should be completed</t>
  </si>
  <si>
    <t>Assumed design duration, in months</t>
  </si>
  <si>
    <t>Assumed construction duration, in months</t>
  </si>
  <si>
    <t>Assumed schedule float, in months</t>
  </si>
  <si>
    <t xml:space="preserve">Estimated Project Cost </t>
  </si>
  <si>
    <t>Can be revised to reflect change in total cost of work for the task</t>
  </si>
  <si>
    <t>Project Summary Table</t>
  </si>
  <si>
    <t>The doors for various rooms were propped open and appear to be their normal position. Suspect that ventilation in the room is not adequate. Investigate ventilation and correct as required in the finished water pump station. (LS7)</t>
  </si>
  <si>
    <t>CIP Summary &amp; CIP Full</t>
  </si>
  <si>
    <t>This section lists the purpose of each column header in CIP Summary and CIP Full.  This list of notes is intended for the user's reference</t>
  </si>
  <si>
    <t>when using a hardcopy file.</t>
  </si>
  <si>
    <t>CIP Column Notes:</t>
  </si>
  <si>
    <t>Existing chemical lines are inaccessible south of the utilidor and cannot be inspected or replaced.  Abandon existing lines in-place, extend utilidor to the southern end of the plant, and install chemical lines in the extended utilidor.</t>
  </si>
  <si>
    <t>Administration</t>
  </si>
  <si>
    <t>Design</t>
  </si>
  <si>
    <r>
      <t>Workbook is protected to prevent user from accidentally editing formulas.  Password to remove protection is "</t>
    </r>
    <r>
      <rPr>
        <b/>
        <sz val="10"/>
        <rFont val="Arial"/>
        <family val="2"/>
      </rPr>
      <t>MPU2017</t>
    </r>
    <r>
      <rPr>
        <sz val="10"/>
        <rFont val="Arial"/>
        <family val="2"/>
      </rPr>
      <t>"</t>
    </r>
  </si>
  <si>
    <t>Basis</t>
  </si>
  <si>
    <t>Caveats</t>
  </si>
  <si>
    <t>Review Cycle (if applicable)</t>
  </si>
  <si>
    <t>Category</t>
  </si>
  <si>
    <t>Project</t>
  </si>
  <si>
    <t>Responsibility Category</t>
  </si>
  <si>
    <t xml:space="preserve">The existing treatment processes will be uprated for the 20 mgd WRWTP expansion. For the primary treatment processes, the uprating will include the following:
• Increasing the Actiflo® flow rate from 7.5 mgd per basin to 10 mgd per basin.
• Increasing the ozonation basin flow rate from 7.5 mgd per basin to 10 mgd per basin. This will decrease the ozone contact time from 15 to 11 minutes, which still allows sufficient contact time for 1-log Cryptosporidium inactivation, provided increased levels of ozone can be dosed in the contactor.
• Increasing the filtration rate to a nominal rate of 5.7 gpm/sf and a maximum rate of 7.5 gpm/sf when one filter is off-line, and to a nominal rate of 7.5 gpm/sf and a maximum rate of 10 gpm/sf when one basin is offline. This increased filtration rate will require approval from OHA prior to increasing plant capacity. To support OHA approval, a full scale pilot study should be conducted in which the filtration rate is gradually increased and water quality is closely monitored. 
• To meet the 2022 site capacity of nominally 20 mgd, the plant's electrical supply and distribution system will need significant upgrades. Preliminary engineering for the capacity expansion will require detailed analysis of electrical supply alternatives, including backup power requirements. Improving the "backbone" of electrical and standby power is recommended in parallel with the expansion project.
</t>
  </si>
  <si>
    <t>P2 - Life-safety Repairs</t>
  </si>
  <si>
    <t>P3 - Seismic Retrofits</t>
  </si>
  <si>
    <t>P4 - 30 MGD Capacity Expansion</t>
  </si>
  <si>
    <t>P5 - Ongoing Repair and Replacement Activities</t>
  </si>
  <si>
    <t>Project Sheets (P1 - P5)</t>
  </si>
  <si>
    <t>Repair &amp; Replace - Year 1</t>
  </si>
  <si>
    <t>ENR</t>
  </si>
  <si>
    <t>Design + Admin Cost</t>
  </si>
  <si>
    <t>Contracted Demand - Wilsonville 10 MGD, Sherwood 5 MGD</t>
  </si>
  <si>
    <t>Stakeholder Categories</t>
  </si>
  <si>
    <t>Defines the costsharing breakdown between stakeholders, including basis, caveats, and review cycle.</t>
  </si>
  <si>
    <t>Construction Duration (months)</t>
  </si>
  <si>
    <t>Schedule Float (months)</t>
  </si>
  <si>
    <t>Estimated Design Cost</t>
  </si>
  <si>
    <t>Estimated Administrative Cost</t>
  </si>
  <si>
    <t>Revised Estimate</t>
  </si>
  <si>
    <t>ENR @ Project Year</t>
  </si>
  <si>
    <t>Design Duration
(Months)</t>
  </si>
  <si>
    <t>Construction Duration
(Months)</t>
  </si>
  <si>
    <t>Schedule Float
(Months)</t>
  </si>
  <si>
    <r>
      <t>Estimated Total Cost</t>
    </r>
    <r>
      <rPr>
        <b/>
        <vertAlign val="superscript"/>
        <sz val="11"/>
        <rFont val="Arial"/>
        <family val="2"/>
      </rPr>
      <t>(1)</t>
    </r>
  </si>
  <si>
    <t>Etimated Administrative Cost</t>
  </si>
  <si>
    <t>Provides a summary of the CIP financials in 2017 dollars, including: total and individual agency costs/fiscal year, total project costs</t>
  </si>
  <si>
    <t>Provides a visual summary of the total CIP costs (in 2017 dollars) for the near-term (FY 2018 - 2022) and long-term (FY 2018 - 2036) based on CIP project and stakeholder.</t>
  </si>
  <si>
    <t>Financial Summary (Future)</t>
  </si>
  <si>
    <t>PROJECT NO. 2</t>
  </si>
  <si>
    <t>Actual Project Cost</t>
  </si>
  <si>
    <t>Project Duration
(Years)</t>
  </si>
  <si>
    <t>Replace two existing 7.5 MGD pumps with 15 MGD pumps</t>
  </si>
  <si>
    <t>Replace the existing constant-speed 7.5 MGD pump with a VFD-controlled pump</t>
  </si>
  <si>
    <t>Conduct tracer study in support of receiving OHA ozonation waiver</t>
  </si>
  <si>
    <t>Contracted Demand - Wilsonville 20.3 MGD, Sherwood 9.7 MGD</t>
  </si>
  <si>
    <t>Replace and reinstall existing streaming current analyzer on Actiflo inlet so it can be used for chemical dosing</t>
  </si>
  <si>
    <t>To increase solids mixing redundancy, recommend purchasing and installing a second mixing pump to give 1+1 configuration</t>
  </si>
  <si>
    <t>Replace VFDs on three Finished Water Pumps</t>
  </si>
  <si>
    <t>Replace two existing rooftop HVAC units in the Administration Building (Conference Room and Control Room) and repair ventilation in Laboratory (T-18HVAC01 through 3)</t>
  </si>
  <si>
    <t xml:space="preserve">Allows the user to override the calculated project duration (based on design, </t>
  </si>
  <si>
    <t>construction, and float) and instead use a user-entered value, in years</t>
  </si>
  <si>
    <t>Wilsonville Split</t>
  </si>
  <si>
    <t>SDCs</t>
  </si>
  <si>
    <t>Rates</t>
  </si>
  <si>
    <t>Project name.  Each ties into individual project sheets P1 to P5.</t>
  </si>
  <si>
    <t xml:space="preserve">Estimated Construction Cost from OPCC and Cost Factoring Workbook. To edit estimate construction cost for individual project tasks, go to "CIP Full" sheet. </t>
  </si>
  <si>
    <t>Estimated design and adminstrative costs based on Estimated construction cost and design and adminstrative contingency.</t>
  </si>
  <si>
    <t>Total Estimated Project Cost</t>
  </si>
  <si>
    <t>Sum of Construction, Design, and Adminstrative Costs</t>
  </si>
  <si>
    <t>Estimated year that project comes online.  User Entered value in CIP Summary</t>
  </si>
  <si>
    <t>ENR value at project completion year.  User entered value.</t>
  </si>
  <si>
    <t>Future value of project based on assumed escalation rate, ENR, or Revised ENR based on user selection</t>
  </si>
  <si>
    <t>Project Start Year</t>
  </si>
  <si>
    <t>Calculated project start year based on design, construction, and float durations (or user-entered project duration)</t>
  </si>
  <si>
    <t>Estimated Adminstrative Cost</t>
  </si>
  <si>
    <t>Calculated design cost based on project construction cost and design escalation rate.  Value is $0 if Design Project field = No.</t>
  </si>
  <si>
    <t xml:space="preserve">Calculated adminstrative cost based on project construction cost and adminstration escalation rate.  </t>
  </si>
  <si>
    <t>Future Design Cost</t>
  </si>
  <si>
    <t>Future Adminstrative Cost</t>
  </si>
  <si>
    <t>Future design cost based on assumed escalation rate, ENR, or Revised ENR based on user selection</t>
  </si>
  <si>
    <t>Future administrative cost based on assumed escalation rate, ENR, or Revised ENR based on user selection</t>
  </si>
  <si>
    <t>Assumed duration of project design in months</t>
  </si>
  <si>
    <t>Assumed duration of project construction in months</t>
  </si>
  <si>
    <t>Assumed project float in months</t>
  </si>
  <si>
    <t>by project and city.</t>
  </si>
  <si>
    <r>
      <t xml:space="preserve">This electronic CIP (eCIP) was created to summarize the updated CIP projects, as defined in the </t>
    </r>
    <r>
      <rPr>
        <i/>
        <sz val="10"/>
        <rFont val="Arial"/>
        <family val="2"/>
      </rPr>
      <t xml:space="preserve">Willamette River Water Treatment Plant - 2017 Master Plan Update </t>
    </r>
    <r>
      <rPr>
        <sz val="10"/>
        <rFont val="Arial"/>
        <family val="2"/>
      </rPr>
      <t>(Carollo, March 2018)</t>
    </r>
  </si>
  <si>
    <t xml:space="preserve">Provides a detailed summary of the eCIP projects and all associated project tasks. </t>
  </si>
  <si>
    <t xml:space="preserve">Provides a summary of the CIP financials in projected future dollars, including: total and individual agency costs/fiscal year, total project </t>
  </si>
  <si>
    <t>costsby project and city.</t>
  </si>
  <si>
    <t>Financial Summary (2017)</t>
  </si>
  <si>
    <t xml:space="preserve">Determines whether project duration should include design phase or is </t>
  </si>
  <si>
    <t>construction only</t>
  </si>
  <si>
    <t>Determines if cost projection is based on ENR, Escalation, or Revised ENR</t>
  </si>
  <si>
    <t xml:space="preserve">Financial Summary - CIP Costs in $2017 </t>
  </si>
  <si>
    <t>Financial Summary - CIP Costs in Projected Future Dollars</t>
  </si>
  <si>
    <t>For 20 MGD Expansion, Life Safety Repairs, Seismic Retrofits, and 30 MGD Expansion projects, all design costs were assumed to be in the first year of the project and the construction costs were split over the remaining project years.</t>
  </si>
  <si>
    <t>CIP SUMMARY TABLE</t>
  </si>
  <si>
    <t>DETAIL CIP SUMMARY</t>
  </si>
  <si>
    <r>
      <t>Estimated Task Cost</t>
    </r>
    <r>
      <rPr>
        <b/>
        <vertAlign val="superscript"/>
        <sz val="10"/>
        <rFont val="Arial"/>
        <family val="2"/>
      </rPr>
      <t>(1)</t>
    </r>
  </si>
  <si>
    <r>
      <t>Total Estimated Project Cost</t>
    </r>
    <r>
      <rPr>
        <b/>
        <vertAlign val="superscript"/>
        <sz val="10"/>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</si>
</sst>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2" formatCode="_(&quot;$&quot;* #,##0_);_(&quot;$&quot;* \(#,##0\);_(&quot;$&quot;* &quot;-&quot;_);_(@_)"/>
    <numFmt numFmtId="44" formatCode="_(&quot;$&quot;* #,##0.00_);_(&quot;$&quot;* \(#,##0.00\);_(&quot;$&quot;* &quot;-&quot;??_);_(@_)"/>
    <numFmt numFmtId="164" formatCode="_(&quot;$&quot;* #,##0_);_(&quot;$&quot;* \(#,##0\);_(&quot;$&quot;* &quot;-&quot;??_);_(@_)"/>
    <numFmt numFmtId="165" formatCode="&quot;$&quot;#,##0"/>
    <numFmt numFmtId="166" formatCode="_(&quot;$&quot;* #,##0.0_);_(&quot;$&quot;* \(#,##0.0\);_(&quot;$&quot;* &quot;-&quot;_);_(@_)"/>
    <numFmt numFmtId="167" formatCode="0.0%"/>
    <numFmt numFmtId="168" formatCode="[$-409]mmm\-yy;@"/>
    <numFmt numFmtId="169" formatCode="&quot;$&quot;#,##0.00"/>
    <numFmt numFmtId="170" formatCode="_(&quot;$&quot;* #,##0.0000_);_(&quot;$&quot;* \(#,##0.0000\);_(&quot;$&quot;* &quot;-&quot;??_);_(@_)"/>
  </numFmts>
  <fonts count="35" x14ac:knownFonts="1">
    <font>
      <sz val="11"/>
      <color theme="1"/>
      <name val="Calibri"/>
      <family val="2"/>
      <scheme val="minor"/>
    </font>
    <font>
      <sz val="11"/>
      <name val="Arial"/>
      <family val="2"/>
    </font>
    <font>
      <sz val="11"/>
      <color theme="1"/>
      <name val="Arial"/>
      <family val="2"/>
    </font>
    <font>
      <sz val="11"/>
      <color theme="1"/>
      <name val="Calibri"/>
      <family val="2"/>
      <scheme val="minor"/>
    </font>
    <font>
      <b/>
      <sz val="11"/>
      <name val="Arial"/>
      <family val="2"/>
    </font>
    <font>
      <sz val="11"/>
      <name val="Arial"/>
      <family val="2"/>
    </font>
    <font>
      <b/>
      <vertAlign val="superscript"/>
      <sz val="11"/>
      <name val="Arial"/>
      <family val="2"/>
    </font>
    <font>
      <b/>
      <sz val="10"/>
      <name val="Arial"/>
      <family val="2"/>
    </font>
    <font>
      <sz val="10"/>
      <name val="Arial"/>
      <family val="2"/>
    </font>
    <font>
      <sz val="10"/>
      <name val="Arial"/>
      <family val="2"/>
    </font>
    <font>
      <sz val="9"/>
      <color indexed="81"/>
      <name val="Tahoma"/>
      <family val="2"/>
    </font>
    <font>
      <b/>
      <sz val="9"/>
      <color indexed="81"/>
      <name val="Tahoma"/>
      <family val="2"/>
    </font>
    <font>
      <b/>
      <sz val="10"/>
      <color rgb="FFFF0000"/>
      <name val="Arial"/>
      <family val="2"/>
    </font>
    <font>
      <b/>
      <sz val="11"/>
      <color rgb="FFFF0000"/>
      <name val="Arial"/>
      <family val="2"/>
    </font>
    <font>
      <sz val="11"/>
      <color rgb="FFFF0000"/>
      <name val="Arial"/>
      <family val="2"/>
    </font>
    <font>
      <sz val="10"/>
      <name val="Arial Narrow"/>
      <family val="2"/>
    </font>
    <font>
      <b/>
      <sz val="10"/>
      <name val="Arial Narrow"/>
      <family val="2"/>
    </font>
    <font>
      <u/>
      <sz val="9.1"/>
      <color theme="10"/>
      <name val="Arial"/>
      <family val="2"/>
    </font>
    <font>
      <b/>
      <sz val="11"/>
      <color theme="1"/>
      <name val="Arial"/>
      <family val="2"/>
    </font>
    <font>
      <sz val="10"/>
      <color rgb="FFFF0000"/>
      <name val="Arial"/>
      <family val="2"/>
    </font>
    <font>
      <b/>
      <i/>
      <sz val="10"/>
      <name val="Arial"/>
      <family val="2"/>
    </font>
    <font>
      <b/>
      <sz val="10"/>
      <color indexed="12"/>
      <name val="Arial"/>
      <family val="2"/>
    </font>
    <font>
      <i/>
      <sz val="10"/>
      <name val="Arial"/>
      <family val="2"/>
    </font>
    <font>
      <sz val="11"/>
      <color rgb="FFFF0000"/>
      <name val="Calibri"/>
      <family val="2"/>
      <scheme val="minor"/>
    </font>
    <font>
      <sz val="8"/>
      <color rgb="FFFF0000"/>
      <name val="Calibri"/>
      <family val="2"/>
      <scheme val="minor"/>
    </font>
    <font>
      <b/>
      <sz val="11"/>
      <color rgb="FFFF0000"/>
      <name val="Calibri"/>
      <family val="2"/>
      <scheme val="minor"/>
    </font>
    <font>
      <i/>
      <sz val="11"/>
      <color theme="1"/>
      <name val="Arial"/>
      <family val="2"/>
    </font>
    <font>
      <b/>
      <i/>
      <sz val="11"/>
      <color theme="1"/>
      <name val="Calibri"/>
      <family val="2"/>
      <scheme val="minor"/>
    </font>
    <font>
      <sz val="11"/>
      <name val="Calibri"/>
      <family val="2"/>
      <scheme val="minor"/>
    </font>
    <font>
      <b/>
      <sz val="11"/>
      <color theme="1"/>
      <name val="Calibri"/>
      <family val="2"/>
      <scheme val="minor"/>
    </font>
    <font>
      <b/>
      <i/>
      <sz val="11"/>
      <color rgb="FFFF0000"/>
      <name val="Calibri"/>
      <family val="2"/>
      <scheme val="minor"/>
    </font>
    <font>
      <sz val="11"/>
      <color theme="0"/>
      <name val="Calibri"/>
      <family val="2"/>
      <scheme val="minor"/>
    </font>
    <font>
      <sz val="11"/>
      <color theme="0"/>
      <name val="Arial"/>
      <family val="2"/>
    </font>
    <font>
      <b/>
      <i/>
      <sz val="10"/>
      <color theme="0"/>
      <name val="Arial"/>
      <family val="2"/>
    </font>
    <font>
      <b/>
      <vertAlign val="superscript"/>
      <sz val="10"/>
      <name val="Arial"/>
      <family val="2"/>
    </font>
  </fonts>
  <fills count="10">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rgb="FF7030A0"/>
        <bgColor indexed="64"/>
      </patternFill>
    </fill>
    <fill>
      <patternFill patternType="solid">
        <fgColor theme="0"/>
        <bgColor indexed="64"/>
      </patternFill>
    </fill>
    <fill>
      <patternFill patternType="solid">
        <fgColor rgb="FF00B0F0"/>
        <bgColor indexed="64"/>
      </patternFill>
    </fill>
  </fills>
  <borders count="17">
    <border>
      <left/>
      <right/>
      <top/>
      <bottom/>
      <diagonal/>
    </border>
    <border>
      <left/>
      <right/>
      <top style="thin">
        <color auto="1"/>
      </top>
      <bottom/>
      <diagonal/>
    </border>
    <border>
      <left/>
      <right style="thin">
        <color auto="1"/>
      </right>
      <top style="thin">
        <color auto="1"/>
      </top>
      <bottom/>
      <diagonal/>
    </border>
    <border>
      <left/>
      <right style="thin">
        <color indexed="64"/>
      </right>
      <top/>
      <bottom/>
      <diagonal/>
    </border>
    <border>
      <left/>
      <right/>
      <top/>
      <bottom style="thin">
        <color auto="1"/>
      </bottom>
      <diagonal/>
    </border>
    <border>
      <left style="thin">
        <color indexed="64"/>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auto="1"/>
      </right>
      <top/>
      <bottom style="thin">
        <color auto="1"/>
      </bottom>
      <diagonal/>
    </border>
    <border>
      <left style="thin">
        <color auto="1"/>
      </left>
      <right style="thin">
        <color auto="1"/>
      </right>
      <top style="thin">
        <color auto="1"/>
      </top>
      <bottom/>
      <diagonal/>
    </border>
  </borders>
  <cellStyleXfs count="8">
    <xf numFmtId="0" fontId="0" fillId="0" borderId="0"/>
    <xf numFmtId="44" fontId="3" fillId="0" borderId="0" applyFont="0" applyFill="0" applyBorder="0" applyAlignment="0" applyProtection="0"/>
    <xf numFmtId="0" fontId="9" fillId="0" borderId="0"/>
    <xf numFmtId="9" fontId="9" fillId="0" borderId="0" applyFont="0" applyFill="0" applyBorder="0" applyAlignment="0" applyProtection="0"/>
    <xf numFmtId="9" fontId="3" fillId="0" borderId="0" applyFont="0" applyFill="0" applyBorder="0" applyAlignment="0" applyProtection="0"/>
    <xf numFmtId="0" fontId="8" fillId="0" borderId="0"/>
    <xf numFmtId="0" fontId="17" fillId="0" borderId="0" applyNumberFormat="0" applyFill="0" applyBorder="0" applyAlignment="0" applyProtection="0">
      <alignment vertical="top"/>
      <protection locked="0"/>
    </xf>
    <xf numFmtId="0" fontId="8" fillId="0" borderId="0"/>
  </cellStyleXfs>
  <cellXfs count="439">
    <xf numFmtId="0" fontId="0" fillId="0" borderId="0" xfId="0"/>
    <xf numFmtId="0" fontId="4" fillId="0" borderId="1" xfId="0" applyFont="1" applyBorder="1" applyAlignment="1">
      <alignment vertical="center"/>
    </xf>
    <xf numFmtId="0" fontId="5" fillId="0" borderId="1" xfId="0" applyFont="1" applyBorder="1" applyAlignment="1">
      <alignment horizontal="center" vertical="center"/>
    </xf>
    <xf numFmtId="0" fontId="5" fillId="0" borderId="1" xfId="0" applyFont="1" applyBorder="1" applyAlignment="1">
      <alignment vertical="center"/>
    </xf>
    <xf numFmtId="1" fontId="5" fillId="0" borderId="1" xfId="0" applyNumberFormat="1" applyFont="1" applyBorder="1" applyAlignment="1">
      <alignment horizontal="center" vertical="center"/>
    </xf>
    <xf numFmtId="0" fontId="4" fillId="0" borderId="0" xfId="0" applyFont="1" applyBorder="1" applyAlignment="1">
      <alignment vertical="center"/>
    </xf>
    <xf numFmtId="0" fontId="5" fillId="0" borderId="0" xfId="0" applyFont="1" applyBorder="1" applyAlignment="1">
      <alignment horizontal="center" vertical="center"/>
    </xf>
    <xf numFmtId="0" fontId="5" fillId="0" borderId="0" xfId="0" applyFont="1" applyBorder="1" applyAlignment="1">
      <alignment vertical="center"/>
    </xf>
    <xf numFmtId="1" fontId="5" fillId="0" borderId="0" xfId="0" applyNumberFormat="1" applyFont="1" applyBorder="1" applyAlignment="1">
      <alignment horizontal="center" vertical="center"/>
    </xf>
    <xf numFmtId="0" fontId="4" fillId="0" borderId="4" xfId="0" applyFont="1" applyBorder="1" applyAlignment="1">
      <alignment vertical="center"/>
    </xf>
    <xf numFmtId="0" fontId="5" fillId="0" borderId="5" xfId="0" applyFont="1" applyBorder="1" applyAlignment="1">
      <alignment vertical="center"/>
    </xf>
    <xf numFmtId="0" fontId="4" fillId="0" borderId="0" xfId="0" applyFont="1" applyBorder="1" applyAlignment="1">
      <alignment horizontal="center" vertical="center"/>
    </xf>
    <xf numFmtId="1" fontId="4" fillId="0" borderId="0" xfId="0" applyNumberFormat="1" applyFont="1" applyBorder="1" applyAlignment="1">
      <alignment horizontal="center" vertical="center"/>
    </xf>
    <xf numFmtId="0" fontId="4" fillId="0" borderId="5" xfId="0" applyFont="1" applyBorder="1" applyAlignment="1">
      <alignment vertical="center"/>
    </xf>
    <xf numFmtId="49" fontId="5" fillId="0" borderId="9" xfId="0" applyNumberFormat="1" applyFont="1" applyBorder="1" applyAlignment="1">
      <alignment horizontal="right" vertical="center"/>
    </xf>
    <xf numFmtId="0" fontId="5" fillId="0" borderId="4" xfId="0" applyFont="1" applyBorder="1" applyAlignment="1">
      <alignment horizontal="left" vertical="center"/>
    </xf>
    <xf numFmtId="0" fontId="0" fillId="0" borderId="0" xfId="0" applyBorder="1"/>
    <xf numFmtId="0" fontId="8" fillId="0" borderId="0" xfId="2" applyFont="1"/>
    <xf numFmtId="0" fontId="9" fillId="0" borderId="0" xfId="2"/>
    <xf numFmtId="0" fontId="0" fillId="0" borderId="4" xfId="0" applyBorder="1"/>
    <xf numFmtId="0" fontId="4" fillId="0" borderId="3" xfId="0" applyFont="1" applyBorder="1" applyAlignment="1">
      <alignment vertical="center"/>
    </xf>
    <xf numFmtId="0" fontId="0" fillId="0" borderId="0" xfId="0" applyBorder="1" applyAlignment="1">
      <alignment horizontal="center"/>
    </xf>
    <xf numFmtId="0" fontId="5" fillId="0" borderId="0" xfId="2" applyFont="1"/>
    <xf numFmtId="0" fontId="4" fillId="0" borderId="0" xfId="2" applyFont="1"/>
    <xf numFmtId="0" fontId="7" fillId="0" borderId="6" xfId="2" applyFont="1" applyBorder="1"/>
    <xf numFmtId="0" fontId="7" fillId="0" borderId="0" xfId="2" applyFont="1"/>
    <xf numFmtId="0" fontId="4" fillId="0" borderId="4" xfId="0" applyFont="1" applyBorder="1" applyAlignment="1">
      <alignment horizontal="center" vertical="center"/>
    </xf>
    <xf numFmtId="0" fontId="0" fillId="0" borderId="4" xfId="0" applyBorder="1" applyAlignment="1">
      <alignment horizontal="center"/>
    </xf>
    <xf numFmtId="0" fontId="0" fillId="0" borderId="0" xfId="0" applyAlignment="1">
      <alignment horizontal="center"/>
    </xf>
    <xf numFmtId="42" fontId="0" fillId="0" borderId="0" xfId="0" applyNumberFormat="1"/>
    <xf numFmtId="0" fontId="8" fillId="0" borderId="8" xfId="2" applyFont="1" applyBorder="1"/>
    <xf numFmtId="0" fontId="8" fillId="0" borderId="0" xfId="2" applyFont="1" applyBorder="1"/>
    <xf numFmtId="0" fontId="7" fillId="0" borderId="5" xfId="2" applyFont="1" applyBorder="1"/>
    <xf numFmtId="42" fontId="8" fillId="0" borderId="0" xfId="2" applyNumberFormat="1" applyFont="1" applyBorder="1"/>
    <xf numFmtId="166" fontId="8" fillId="0" borderId="0" xfId="2" applyNumberFormat="1" applyFont="1" applyBorder="1"/>
    <xf numFmtId="42" fontId="15" fillId="0" borderId="0" xfId="2" applyNumberFormat="1" applyFont="1" applyBorder="1"/>
    <xf numFmtId="165" fontId="15" fillId="0" borderId="0" xfId="2" applyNumberFormat="1" applyFont="1" applyBorder="1"/>
    <xf numFmtId="42" fontId="5" fillId="0" borderId="0" xfId="0" applyNumberFormat="1" applyFont="1" applyFill="1" applyBorder="1" applyAlignment="1">
      <alignment vertical="center"/>
    </xf>
    <xf numFmtId="0" fontId="9" fillId="5" borderId="0" xfId="2" applyFill="1"/>
    <xf numFmtId="0" fontId="9" fillId="6" borderId="0" xfId="2" applyFill="1"/>
    <xf numFmtId="0" fontId="9" fillId="7" borderId="0" xfId="2" applyFill="1"/>
    <xf numFmtId="0" fontId="20" fillId="0" borderId="0" xfId="2" applyFont="1"/>
    <xf numFmtId="0" fontId="20" fillId="5" borderId="0" xfId="2" applyFont="1" applyFill="1"/>
    <xf numFmtId="0" fontId="20" fillId="6" borderId="0" xfId="2" applyFont="1" applyFill="1"/>
    <xf numFmtId="0" fontId="9" fillId="0" borderId="0" xfId="2" applyFill="1"/>
    <xf numFmtId="0" fontId="20" fillId="0" borderId="0" xfId="2" applyFont="1" applyFill="1"/>
    <xf numFmtId="0" fontId="8" fillId="0" borderId="0" xfId="2" applyFont="1" applyFill="1"/>
    <xf numFmtId="0" fontId="20" fillId="0" borderId="11" xfId="2" applyFont="1" applyFill="1" applyBorder="1"/>
    <xf numFmtId="0" fontId="4" fillId="0" borderId="0" xfId="0" applyFont="1" applyFill="1" applyBorder="1" applyAlignment="1">
      <alignment horizontal="center" vertical="center" wrapText="1"/>
    </xf>
    <xf numFmtId="0" fontId="4" fillId="0" borderId="0" xfId="0" applyFont="1" applyFill="1" applyBorder="1" applyAlignment="1">
      <alignment horizontal="right" vertical="center"/>
    </xf>
    <xf numFmtId="42" fontId="4" fillId="0" borderId="0" xfId="0" applyNumberFormat="1" applyFont="1" applyFill="1" applyBorder="1" applyAlignment="1">
      <alignment vertical="center"/>
    </xf>
    <xf numFmtId="42" fontId="4" fillId="0" borderId="0" xfId="0" applyNumberFormat="1" applyFont="1" applyFill="1" applyBorder="1" applyAlignment="1">
      <alignment horizontal="center" vertical="center"/>
    </xf>
    <xf numFmtId="42" fontId="13" fillId="0" borderId="0" xfId="0" applyNumberFormat="1" applyFont="1" applyFill="1" applyBorder="1" applyAlignment="1">
      <alignment vertical="center"/>
    </xf>
    <xf numFmtId="1" fontId="0" fillId="0" borderId="0" xfId="0" applyNumberFormat="1" applyBorder="1" applyAlignment="1">
      <alignment horizontal="center"/>
    </xf>
    <xf numFmtId="1" fontId="13" fillId="0" borderId="0" xfId="0" applyNumberFormat="1" applyFont="1" applyFill="1" applyBorder="1" applyAlignment="1">
      <alignment horizontal="center" vertical="center"/>
    </xf>
    <xf numFmtId="37" fontId="14" fillId="0" borderId="12" xfId="0" applyNumberFormat="1" applyFont="1" applyFill="1" applyBorder="1" applyAlignment="1">
      <alignment horizontal="center" vertical="center"/>
    </xf>
    <xf numFmtId="0" fontId="2" fillId="0" borderId="12" xfId="0" applyFont="1" applyFill="1" applyBorder="1" applyAlignment="1">
      <alignment horizontal="center"/>
    </xf>
    <xf numFmtId="0" fontId="2" fillId="0" borderId="12" xfId="0" applyFont="1" applyBorder="1" applyAlignment="1">
      <alignment wrapText="1"/>
    </xf>
    <xf numFmtId="0" fontId="2" fillId="0" borderId="12" xfId="0" applyFont="1" applyFill="1" applyBorder="1" applyAlignment="1">
      <alignment wrapText="1"/>
    </xf>
    <xf numFmtId="0" fontId="1" fillId="0" borderId="12" xfId="0" applyFont="1" applyBorder="1" applyAlignment="1">
      <alignment wrapText="1"/>
    </xf>
    <xf numFmtId="0" fontId="2" fillId="0" borderId="12" xfId="0" applyFont="1" applyBorder="1" applyAlignment="1"/>
    <xf numFmtId="0" fontId="4" fillId="0" borderId="11" xfId="0" applyFont="1" applyBorder="1" applyAlignment="1">
      <alignment vertical="center"/>
    </xf>
    <xf numFmtId="42" fontId="2" fillId="0" borderId="12" xfId="0" applyNumberFormat="1" applyFont="1" applyFill="1" applyBorder="1" applyAlignment="1">
      <alignment horizontal="center"/>
    </xf>
    <xf numFmtId="0" fontId="1" fillId="0" borderId="12" xfId="0" applyFont="1" applyFill="1" applyBorder="1" applyAlignment="1">
      <alignment horizontal="center"/>
    </xf>
    <xf numFmtId="0" fontId="0" fillId="0" borderId="0" xfId="0" applyFont="1"/>
    <xf numFmtId="42" fontId="2" fillId="0" borderId="12" xfId="1" applyNumberFormat="1" applyFont="1" applyBorder="1"/>
    <xf numFmtId="0" fontId="2" fillId="0" borderId="5" xfId="0" applyFont="1" applyFill="1" applyBorder="1" applyAlignment="1">
      <alignment horizontal="center"/>
    </xf>
    <xf numFmtId="0" fontId="2" fillId="0" borderId="0" xfId="0" applyFont="1" applyBorder="1" applyAlignment="1">
      <alignment wrapText="1"/>
    </xf>
    <xf numFmtId="42" fontId="14" fillId="0" borderId="0" xfId="0" applyNumberFormat="1" applyFont="1" applyFill="1" applyBorder="1" applyAlignment="1">
      <alignment horizontal="center" vertical="center"/>
    </xf>
    <xf numFmtId="17" fontId="14" fillId="0" borderId="0" xfId="0" applyNumberFormat="1" applyFont="1" applyFill="1" applyBorder="1" applyAlignment="1">
      <alignment horizontal="center" vertical="center"/>
    </xf>
    <xf numFmtId="1" fontId="14" fillId="0" borderId="0" xfId="0" applyNumberFormat="1" applyFont="1" applyFill="1" applyBorder="1" applyAlignment="1">
      <alignment horizontal="center" vertical="center"/>
    </xf>
    <xf numFmtId="0" fontId="2" fillId="0" borderId="0" xfId="0" applyFont="1" applyBorder="1" applyAlignment="1">
      <alignment horizontal="center"/>
    </xf>
    <xf numFmtId="42" fontId="2" fillId="0" borderId="0" xfId="0" applyNumberFormat="1" applyFont="1" applyFill="1" applyBorder="1" applyAlignment="1">
      <alignment horizontal="center"/>
    </xf>
    <xf numFmtId="0" fontId="2" fillId="0" borderId="0" xfId="0" applyFont="1" applyFill="1" applyBorder="1" applyAlignment="1">
      <alignment wrapText="1"/>
    </xf>
    <xf numFmtId="42" fontId="2" fillId="0" borderId="0" xfId="1" applyNumberFormat="1" applyFont="1" applyFill="1" applyBorder="1"/>
    <xf numFmtId="0" fontId="0" fillId="0" borderId="3" xfId="0" applyBorder="1"/>
    <xf numFmtId="0" fontId="7" fillId="0" borderId="0" xfId="0" applyFont="1" applyBorder="1"/>
    <xf numFmtId="0" fontId="8" fillId="0" borderId="0" xfId="0" applyFont="1" applyBorder="1"/>
    <xf numFmtId="0" fontId="7" fillId="0" borderId="0" xfId="7" applyFont="1"/>
    <xf numFmtId="0" fontId="8" fillId="0" borderId="0" xfId="7" applyFont="1"/>
    <xf numFmtId="0" fontId="7" fillId="0" borderId="0" xfId="0" applyFont="1" applyBorder="1" applyAlignment="1">
      <alignment horizontal="left"/>
    </xf>
    <xf numFmtId="0" fontId="7" fillId="0" borderId="0" xfId="0" applyFont="1" applyBorder="1" applyAlignment="1">
      <alignment vertical="top"/>
    </xf>
    <xf numFmtId="1" fontId="4" fillId="0" borderId="11" xfId="0" applyNumberFormat="1" applyFont="1" applyBorder="1" applyAlignment="1">
      <alignment horizontal="center" vertical="center"/>
    </xf>
    <xf numFmtId="0" fontId="4" fillId="0" borderId="0" xfId="0" applyFont="1" applyFill="1" applyBorder="1" applyAlignment="1">
      <alignment horizontal="center" vertical="center"/>
    </xf>
    <xf numFmtId="169" fontId="0" fillId="0" borderId="0" xfId="0" applyNumberFormat="1"/>
    <xf numFmtId="0" fontId="8" fillId="0" borderId="0" xfId="2" applyFont="1" applyFill="1" applyBorder="1"/>
    <xf numFmtId="42" fontId="1" fillId="0" borderId="12" xfId="0" applyNumberFormat="1" applyFont="1" applyFill="1" applyBorder="1" applyAlignment="1">
      <alignment horizontal="center" vertical="center" wrapText="1"/>
    </xf>
    <xf numFmtId="42" fontId="4" fillId="0" borderId="0" xfId="0" applyNumberFormat="1" applyFont="1" applyBorder="1" applyAlignment="1">
      <alignment vertical="center"/>
    </xf>
    <xf numFmtId="0" fontId="1" fillId="0" borderId="6"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1" fillId="0" borderId="12" xfId="0" applyFont="1" applyFill="1" applyBorder="1" applyAlignment="1">
      <alignment horizontal="center" vertical="center"/>
    </xf>
    <xf numFmtId="0" fontId="2" fillId="0" borderId="0" xfId="0" applyFont="1"/>
    <xf numFmtId="0" fontId="1" fillId="0" borderId="0" xfId="0" applyFont="1" applyBorder="1" applyAlignment="1">
      <alignment horizontal="left"/>
    </xf>
    <xf numFmtId="0" fontId="0" fillId="0" borderId="0" xfId="0" applyFont="1" applyBorder="1"/>
    <xf numFmtId="0" fontId="2" fillId="0" borderId="0" xfId="0" applyFont="1" applyBorder="1"/>
    <xf numFmtId="0" fontId="4" fillId="0" borderId="0" xfId="0" applyFont="1" applyBorder="1"/>
    <xf numFmtId="0" fontId="1" fillId="0" borderId="0" xfId="0" applyFont="1" applyBorder="1"/>
    <xf numFmtId="0" fontId="4" fillId="0" borderId="0" xfId="7" applyFont="1"/>
    <xf numFmtId="0" fontId="1" fillId="0" borderId="0" xfId="7" applyFont="1"/>
    <xf numFmtId="0" fontId="4" fillId="0" borderId="0" xfId="0" applyFont="1" applyBorder="1" applyAlignment="1">
      <alignment horizontal="left"/>
    </xf>
    <xf numFmtId="0" fontId="4" fillId="0" borderId="0" xfId="0" applyFont="1" applyBorder="1" applyAlignment="1">
      <alignment vertical="top"/>
    </xf>
    <xf numFmtId="0" fontId="2" fillId="0" borderId="0" xfId="0" applyFont="1" applyFill="1" applyBorder="1" applyAlignment="1">
      <alignment horizontal="center"/>
    </xf>
    <xf numFmtId="42" fontId="2" fillId="0" borderId="0" xfId="1" applyNumberFormat="1" applyFont="1" applyBorder="1"/>
    <xf numFmtId="37"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center"/>
    </xf>
    <xf numFmtId="0" fontId="1" fillId="0" borderId="0" xfId="0" applyFont="1" applyBorder="1" applyAlignment="1">
      <alignment wrapText="1"/>
    </xf>
    <xf numFmtId="42" fontId="2" fillId="0" borderId="0" xfId="1" applyNumberFormat="1" applyFont="1" applyFill="1" applyBorder="1" applyAlignment="1">
      <alignment horizontal="right"/>
    </xf>
    <xf numFmtId="0" fontId="0" fillId="0" borderId="0" xfId="0" applyFill="1" applyBorder="1" applyAlignment="1">
      <alignment horizontal="center"/>
    </xf>
    <xf numFmtId="0" fontId="1" fillId="0" borderId="0" xfId="0" applyFont="1" applyFill="1" applyBorder="1" applyAlignment="1">
      <alignment horizontal="center"/>
    </xf>
    <xf numFmtId="0" fontId="0" fillId="0" borderId="0" xfId="0" applyFill="1" applyBorder="1"/>
    <xf numFmtId="0" fontId="5" fillId="0" borderId="0" xfId="0" applyFont="1" applyFill="1" applyBorder="1" applyAlignment="1">
      <alignment vertical="center"/>
    </xf>
    <xf numFmtId="0" fontId="4" fillId="0" borderId="0" xfId="0" applyFont="1" applyFill="1" applyBorder="1" applyAlignment="1">
      <alignment vertical="center"/>
    </xf>
    <xf numFmtId="164" fontId="4" fillId="0" borderId="0" xfId="0" applyNumberFormat="1" applyFont="1" applyFill="1" applyBorder="1" applyAlignment="1">
      <alignment horizontal="center" vertical="center"/>
    </xf>
    <xf numFmtId="1" fontId="4" fillId="0" borderId="0" xfId="0" applyNumberFormat="1" applyFont="1" applyFill="1" applyBorder="1" applyAlignment="1">
      <alignment horizontal="center" vertical="center"/>
    </xf>
    <xf numFmtId="1" fontId="0" fillId="0" borderId="0" xfId="0" applyNumberFormat="1" applyFill="1" applyBorder="1" applyAlignment="1">
      <alignment horizontal="center"/>
    </xf>
    <xf numFmtId="49" fontId="5" fillId="0" borderId="0" xfId="0" applyNumberFormat="1" applyFont="1" applyFill="1" applyBorder="1" applyAlignment="1">
      <alignment horizontal="right" vertical="center"/>
    </xf>
    <xf numFmtId="0" fontId="18" fillId="0" borderId="0" xfId="0" applyFont="1" applyFill="1" applyBorder="1"/>
    <xf numFmtId="164" fontId="2" fillId="0" borderId="0" xfId="1" applyNumberFormat="1" applyFont="1" applyFill="1" applyBorder="1"/>
    <xf numFmtId="14" fontId="0" fillId="0" borderId="0" xfId="0" applyNumberFormat="1" applyFill="1" applyBorder="1"/>
    <xf numFmtId="164" fontId="0" fillId="0" borderId="0" xfId="0" applyNumberFormat="1" applyFill="1" applyBorder="1"/>
    <xf numFmtId="0" fontId="1" fillId="0" borderId="6" xfId="0" applyFont="1" applyFill="1" applyBorder="1" applyAlignment="1">
      <alignment vertical="center" wrapText="1"/>
    </xf>
    <xf numFmtId="0" fontId="1" fillId="0" borderId="12" xfId="0" applyFont="1" applyFill="1" applyBorder="1" applyAlignment="1">
      <alignment wrapText="1"/>
    </xf>
    <xf numFmtId="0" fontId="4" fillId="0" borderId="12" xfId="0" applyFont="1" applyFill="1" applyBorder="1" applyAlignment="1">
      <alignment horizontal="center" wrapText="1"/>
    </xf>
    <xf numFmtId="42" fontId="1" fillId="0" borderId="6" xfId="0" applyNumberFormat="1" applyFont="1" applyFill="1" applyBorder="1" applyAlignment="1">
      <alignment horizontal="center" vertical="center" wrapText="1"/>
    </xf>
    <xf numFmtId="42" fontId="1" fillId="0" borderId="7" xfId="0" applyNumberFormat="1" applyFont="1" applyFill="1" applyBorder="1" applyAlignment="1">
      <alignment horizontal="center" vertical="center" wrapText="1"/>
    </xf>
    <xf numFmtId="0" fontId="18" fillId="3" borderId="12" xfId="0" applyFont="1" applyFill="1" applyBorder="1" applyAlignment="1">
      <alignment horizontal="right"/>
    </xf>
    <xf numFmtId="0" fontId="5" fillId="0" borderId="0" xfId="0" applyFont="1" applyFill="1" applyBorder="1" applyAlignment="1">
      <alignment vertical="top" wrapText="1"/>
    </xf>
    <xf numFmtId="0" fontId="2" fillId="0" borderId="13" xfId="0" applyFont="1" applyFill="1" applyBorder="1" applyAlignment="1">
      <alignment horizontal="center"/>
    </xf>
    <xf numFmtId="0" fontId="2" fillId="0" borderId="13" xfId="0" applyFont="1" applyFill="1" applyBorder="1" applyAlignment="1">
      <alignment wrapText="1"/>
    </xf>
    <xf numFmtId="0" fontId="2" fillId="0" borderId="13" xfId="0" applyFont="1" applyBorder="1" applyAlignment="1">
      <alignment wrapText="1"/>
    </xf>
    <xf numFmtId="42" fontId="1" fillId="0" borderId="13" xfId="0" applyNumberFormat="1" applyFont="1" applyFill="1" applyBorder="1" applyAlignment="1"/>
    <xf numFmtId="42" fontId="2" fillId="0" borderId="13" xfId="0" applyNumberFormat="1" applyFont="1" applyFill="1" applyBorder="1" applyAlignment="1">
      <alignment horizontal="center"/>
    </xf>
    <xf numFmtId="42" fontId="5" fillId="0" borderId="13" xfId="0" applyNumberFormat="1" applyFont="1" applyFill="1" applyBorder="1" applyAlignment="1"/>
    <xf numFmtId="42" fontId="2" fillId="0" borderId="13" xfId="1" applyNumberFormat="1" applyFont="1" applyBorder="1"/>
    <xf numFmtId="42" fontId="1" fillId="0" borderId="13" xfId="0" applyNumberFormat="1" applyFont="1" applyFill="1" applyBorder="1" applyAlignment="1">
      <alignment horizontal="center"/>
    </xf>
    <xf numFmtId="0" fontId="0" fillId="0" borderId="0" xfId="0" applyFill="1"/>
    <xf numFmtId="0" fontId="7" fillId="0" borderId="8" xfId="2" applyFont="1" applyBorder="1" applyAlignment="1">
      <alignment horizontal="center"/>
    </xf>
    <xf numFmtId="0" fontId="0" fillId="0" borderId="11" xfId="0" applyBorder="1"/>
    <xf numFmtId="0" fontId="5" fillId="0" borderId="11" xfId="0" applyFont="1" applyBorder="1" applyAlignment="1">
      <alignment horizontal="left" vertical="center"/>
    </xf>
    <xf numFmtId="0" fontId="0" fillId="0" borderId="11" xfId="0" applyBorder="1" applyAlignment="1">
      <alignment horizontal="center"/>
    </xf>
    <xf numFmtId="1" fontId="0" fillId="0" borderId="11" xfId="0" applyNumberFormat="1" applyBorder="1" applyAlignment="1">
      <alignment horizontal="center"/>
    </xf>
    <xf numFmtId="0" fontId="0" fillId="0" borderId="15" xfId="0" applyBorder="1"/>
    <xf numFmtId="0" fontId="8" fillId="0" borderId="0" xfId="2" applyFont="1" applyFill="1" applyAlignment="1">
      <alignment wrapText="1"/>
    </xf>
    <xf numFmtId="0" fontId="8" fillId="0" borderId="0" xfId="2" applyFont="1" applyFill="1" applyAlignment="1"/>
    <xf numFmtId="0" fontId="4" fillId="0" borderId="11" xfId="0" applyFont="1" applyBorder="1" applyAlignment="1">
      <alignment horizontal="center" vertical="center"/>
    </xf>
    <xf numFmtId="164" fontId="4" fillId="2" borderId="7" xfId="0" applyNumberFormat="1" applyFont="1" applyFill="1" applyBorder="1" applyAlignment="1">
      <alignment horizontal="center" vertical="center"/>
    </xf>
    <xf numFmtId="0" fontId="21" fillId="0" borderId="0" xfId="2" applyFont="1" applyAlignment="1"/>
    <xf numFmtId="0" fontId="8" fillId="0" borderId="0" xfId="2" applyFont="1" applyAlignment="1"/>
    <xf numFmtId="0" fontId="7" fillId="0" borderId="16" xfId="2" applyFont="1" applyBorder="1" applyAlignment="1">
      <alignment horizontal="right"/>
    </xf>
    <xf numFmtId="165" fontId="15" fillId="0" borderId="14" xfId="2" applyNumberFormat="1" applyFont="1" applyBorder="1"/>
    <xf numFmtId="42" fontId="15" fillId="0" borderId="14" xfId="2" applyNumberFormat="1" applyFont="1" applyBorder="1"/>
    <xf numFmtId="42" fontId="15" fillId="0" borderId="12" xfId="2" applyNumberFormat="1" applyFont="1" applyBorder="1"/>
    <xf numFmtId="0" fontId="15" fillId="0" borderId="14" xfId="2" applyFont="1" applyBorder="1"/>
    <xf numFmtId="164" fontId="16" fillId="3" borderId="14" xfId="2" applyNumberFormat="1" applyFont="1" applyFill="1" applyBorder="1"/>
    <xf numFmtId="164" fontId="15" fillId="0" borderId="14" xfId="2" applyNumberFormat="1" applyFont="1" applyBorder="1"/>
    <xf numFmtId="164" fontId="15" fillId="0" borderId="13" xfId="2" applyNumberFormat="1" applyFont="1" applyBorder="1"/>
    <xf numFmtId="0" fontId="15" fillId="0" borderId="0" xfId="2" applyFont="1" applyBorder="1"/>
    <xf numFmtId="0" fontId="8" fillId="0" borderId="5" xfId="2" applyFont="1" applyBorder="1"/>
    <xf numFmtId="0" fontId="7" fillId="3" borderId="0" xfId="2" applyFont="1" applyFill="1" applyBorder="1"/>
    <xf numFmtId="10" fontId="7" fillId="3" borderId="0" xfId="4" applyNumberFormat="1" applyFont="1" applyFill="1" applyBorder="1"/>
    <xf numFmtId="164" fontId="16" fillId="3" borderId="0" xfId="2" applyNumberFormat="1" applyFont="1" applyFill="1" applyBorder="1"/>
    <xf numFmtId="0" fontId="8" fillId="0" borderId="0" xfId="2" applyFont="1" applyBorder="1" applyAlignment="1">
      <alignment horizontal="left" indent="1"/>
    </xf>
    <xf numFmtId="164" fontId="15" fillId="0" borderId="0" xfId="2" applyNumberFormat="1" applyFont="1" applyBorder="1"/>
    <xf numFmtId="0" fontId="8" fillId="0" borderId="9" xfId="2" applyFont="1" applyBorder="1"/>
    <xf numFmtId="164" fontId="15" fillId="0" borderId="11" xfId="2" applyNumberFormat="1" applyFont="1" applyBorder="1"/>
    <xf numFmtId="0" fontId="5" fillId="0" borderId="0" xfId="0" applyFont="1" applyFill="1" applyBorder="1" applyAlignment="1">
      <alignment horizontal="left" vertical="top" wrapText="1"/>
    </xf>
    <xf numFmtId="0" fontId="8" fillId="0" borderId="0" xfId="2" applyFont="1" applyFill="1" applyAlignment="1">
      <alignment horizontal="right"/>
    </xf>
    <xf numFmtId="0" fontId="8" fillId="0" borderId="0" xfId="2" applyFont="1" applyAlignment="1">
      <alignment horizontal="right"/>
    </xf>
    <xf numFmtId="0" fontId="8" fillId="0" borderId="0" xfId="2" applyFont="1" applyFill="1" applyAlignment="1">
      <alignment horizontal="left" indent="2"/>
    </xf>
    <xf numFmtId="42" fontId="1" fillId="0" borderId="13" xfId="1" applyNumberFormat="1" applyFont="1" applyBorder="1" applyAlignment="1"/>
    <xf numFmtId="42" fontId="1" fillId="0" borderId="13" xfId="1" applyNumberFormat="1" applyFont="1" applyBorder="1"/>
    <xf numFmtId="0" fontId="23" fillId="0" borderId="0" xfId="0" applyFont="1" applyBorder="1" applyAlignment="1">
      <alignment horizontal="left" vertical="top" wrapText="1"/>
    </xf>
    <xf numFmtId="0" fontId="5" fillId="0" borderId="0" xfId="0" applyFont="1" applyBorder="1" applyAlignment="1">
      <alignment horizontal="left" vertical="center"/>
    </xf>
    <xf numFmtId="0" fontId="20" fillId="4" borderId="0" xfId="2" applyFont="1" applyFill="1"/>
    <xf numFmtId="0" fontId="13" fillId="0" borderId="12" xfId="0" applyFont="1" applyFill="1" applyBorder="1" applyAlignment="1">
      <alignment horizontal="center" wrapText="1"/>
    </xf>
    <xf numFmtId="0" fontId="13" fillId="0" borderId="0" xfId="7" applyFont="1" applyBorder="1" applyAlignment="1">
      <alignment horizontal="centerContinuous"/>
    </xf>
    <xf numFmtId="0" fontId="1" fillId="0" borderId="6" xfId="0" applyFont="1" applyFill="1" applyBorder="1" applyAlignment="1">
      <alignment horizontal="center"/>
    </xf>
    <xf numFmtId="0" fontId="1" fillId="0" borderId="6" xfId="0" applyFont="1" applyFill="1" applyBorder="1" applyAlignment="1">
      <alignment wrapText="1"/>
    </xf>
    <xf numFmtId="0" fontId="1" fillId="0" borderId="12" xfId="0" applyFont="1" applyFill="1" applyBorder="1" applyAlignment="1">
      <alignment vertical="center" wrapText="1"/>
    </xf>
    <xf numFmtId="0" fontId="20" fillId="0" borderId="0" xfId="2" applyFont="1" applyFill="1" applyBorder="1" applyAlignment="1">
      <alignment horizontal="left"/>
    </xf>
    <xf numFmtId="37" fontId="1" fillId="0" borderId="12" xfId="0" applyNumberFormat="1" applyFont="1" applyFill="1" applyBorder="1" applyAlignment="1">
      <alignment horizontal="center" vertical="center"/>
    </xf>
    <xf numFmtId="0" fontId="2" fillId="0" borderId="15" xfId="0" applyFont="1" applyFill="1" applyBorder="1" applyAlignment="1">
      <alignment horizontal="center"/>
    </xf>
    <xf numFmtId="0" fontId="26" fillId="0" borderId="12" xfId="0" applyFont="1" applyFill="1" applyBorder="1" applyAlignment="1">
      <alignment horizontal="left" wrapText="1" indent="1"/>
    </xf>
    <xf numFmtId="42" fontId="2" fillId="0" borderId="12" xfId="1" applyNumberFormat="1" applyFont="1" applyFill="1" applyBorder="1"/>
    <xf numFmtId="42" fontId="1" fillId="0" borderId="12" xfId="0" applyNumberFormat="1" applyFont="1" applyFill="1" applyBorder="1" applyAlignment="1">
      <alignment vertical="center"/>
    </xf>
    <xf numFmtId="165" fontId="4" fillId="0" borderId="0" xfId="0" applyNumberFormat="1" applyFont="1" applyFill="1" applyBorder="1" applyAlignment="1">
      <alignment vertical="center"/>
    </xf>
    <xf numFmtId="169" fontId="4" fillId="0" borderId="0" xfId="0" applyNumberFormat="1" applyFont="1" applyFill="1" applyBorder="1" applyAlignment="1">
      <alignment vertical="center"/>
    </xf>
    <xf numFmtId="0" fontId="4" fillId="0" borderId="2" xfId="0" applyFont="1" applyBorder="1" applyAlignment="1">
      <alignment vertical="center"/>
    </xf>
    <xf numFmtId="49" fontId="5" fillId="0" borderId="5" xfId="0" applyNumberFormat="1" applyFont="1" applyBorder="1" applyAlignment="1">
      <alignment horizontal="right" vertical="center"/>
    </xf>
    <xf numFmtId="0" fontId="1" fillId="0" borderId="11" xfId="0" applyFont="1" applyBorder="1" applyAlignment="1">
      <alignment horizontal="left" vertical="center"/>
    </xf>
    <xf numFmtId="0" fontId="18" fillId="0" borderId="11" xfId="0" applyFont="1" applyFill="1" applyBorder="1" applyAlignment="1">
      <alignment horizontal="left"/>
    </xf>
    <xf numFmtId="0" fontId="2" fillId="0" borderId="1" xfId="0" applyFont="1" applyFill="1" applyBorder="1" applyAlignment="1">
      <alignment wrapText="1"/>
    </xf>
    <xf numFmtId="42" fontId="2" fillId="0" borderId="1" xfId="1" applyNumberFormat="1" applyFont="1" applyFill="1" applyBorder="1"/>
    <xf numFmtId="42" fontId="14" fillId="0" borderId="1" xfId="0" applyNumberFormat="1" applyFont="1" applyFill="1" applyBorder="1" applyAlignment="1">
      <alignment horizontal="center" vertical="center"/>
    </xf>
    <xf numFmtId="17" fontId="14" fillId="0" borderId="1" xfId="0" applyNumberFormat="1" applyFont="1" applyFill="1" applyBorder="1" applyAlignment="1">
      <alignment horizontal="center" vertical="center"/>
    </xf>
    <xf numFmtId="1" fontId="14" fillId="0" borderId="1" xfId="0" applyNumberFormat="1" applyFont="1" applyFill="1" applyBorder="1" applyAlignment="1">
      <alignment horizontal="center" vertical="center"/>
    </xf>
    <xf numFmtId="1" fontId="14" fillId="0" borderId="11" xfId="0" applyNumberFormat="1" applyFont="1" applyFill="1" applyBorder="1" applyAlignment="1">
      <alignment horizontal="center" vertical="center"/>
    </xf>
    <xf numFmtId="0" fontId="13" fillId="0" borderId="11" xfId="0" applyFont="1" applyFill="1" applyBorder="1" applyAlignment="1">
      <alignment horizontal="left"/>
    </xf>
    <xf numFmtId="164" fontId="4" fillId="2" borderId="8" xfId="0" applyNumberFormat="1" applyFont="1" applyFill="1" applyBorder="1" applyAlignment="1">
      <alignment horizontal="center" vertical="center"/>
    </xf>
    <xf numFmtId="42" fontId="1" fillId="0" borderId="8" xfId="0" applyNumberFormat="1" applyFont="1" applyFill="1" applyBorder="1" applyAlignment="1">
      <alignment vertical="center"/>
    </xf>
    <xf numFmtId="0" fontId="14" fillId="0" borderId="8" xfId="0" applyFont="1" applyFill="1" applyBorder="1" applyAlignment="1">
      <alignment horizontal="center"/>
    </xf>
    <xf numFmtId="0" fontId="2" fillId="0" borderId="10" xfId="0" applyFont="1" applyFill="1" applyBorder="1" applyAlignment="1">
      <alignment horizontal="center"/>
    </xf>
    <xf numFmtId="0" fontId="13" fillId="0" borderId="9" xfId="0" applyFont="1" applyFill="1" applyBorder="1" applyAlignment="1">
      <alignment horizontal="left"/>
    </xf>
    <xf numFmtId="0" fontId="2" fillId="0" borderId="6" xfId="0" applyFont="1" applyFill="1" applyBorder="1" applyAlignment="1">
      <alignment horizontal="center"/>
    </xf>
    <xf numFmtId="0" fontId="1" fillId="0" borderId="0" xfId="7" applyFont="1" applyBorder="1" applyAlignment="1">
      <alignment horizontal="left"/>
    </xf>
    <xf numFmtId="0" fontId="1" fillId="0" borderId="0" xfId="0" applyFont="1" applyBorder="1" applyAlignment="1">
      <alignment vertical="top" wrapText="1"/>
    </xf>
    <xf numFmtId="0" fontId="14" fillId="0" borderId="0" xfId="0" applyFont="1" applyAlignment="1">
      <alignment vertical="top" wrapText="1"/>
    </xf>
    <xf numFmtId="0" fontId="2" fillId="0" borderId="0" xfId="0" applyFont="1" applyAlignment="1">
      <alignment horizontal="left" vertical="top" wrapText="1"/>
    </xf>
    <xf numFmtId="0" fontId="5" fillId="0" borderId="10" xfId="0" applyFont="1" applyBorder="1" applyAlignment="1">
      <alignment vertical="center"/>
    </xf>
    <xf numFmtId="0" fontId="0" fillId="0" borderId="1" xfId="0" applyBorder="1"/>
    <xf numFmtId="0" fontId="0" fillId="0" borderId="2" xfId="0" applyBorder="1"/>
    <xf numFmtId="0" fontId="4" fillId="0" borderId="0" xfId="7" applyFont="1" applyBorder="1" applyAlignment="1">
      <alignment horizontal="left"/>
    </xf>
    <xf numFmtId="0" fontId="12" fillId="0" borderId="0" xfId="7" applyFont="1" applyBorder="1" applyAlignment="1">
      <alignment horizontal="centerContinuous"/>
    </xf>
    <xf numFmtId="0" fontId="13" fillId="0" borderId="0" xfId="7" applyFont="1" applyBorder="1" applyAlignment="1">
      <alignment horizontal="center"/>
    </xf>
    <xf numFmtId="0" fontId="2" fillId="0" borderId="0" xfId="0" applyFont="1" applyAlignment="1">
      <alignment vertical="top" wrapText="1"/>
    </xf>
    <xf numFmtId="0" fontId="4" fillId="0" borderId="0" xfId="7" applyFont="1" applyAlignment="1"/>
    <xf numFmtId="0" fontId="4" fillId="0" borderId="0" xfId="0" applyFont="1" applyBorder="1" applyAlignment="1"/>
    <xf numFmtId="0" fontId="0" fillId="0" borderId="1" xfId="0" applyBorder="1" applyAlignment="1">
      <alignment horizontal="center"/>
    </xf>
    <xf numFmtId="49" fontId="1" fillId="0" borderId="5" xfId="0" applyNumberFormat="1" applyFont="1" applyBorder="1" applyAlignment="1">
      <alignment horizontal="right" vertical="center"/>
    </xf>
    <xf numFmtId="0" fontId="2" fillId="0" borderId="9" xfId="0" applyFont="1" applyFill="1" applyBorder="1" applyAlignment="1">
      <alignment horizontal="center"/>
    </xf>
    <xf numFmtId="49" fontId="1" fillId="0" borderId="9" xfId="0" applyNumberFormat="1" applyFont="1" applyBorder="1" applyAlignment="1">
      <alignment horizontal="right" vertical="center"/>
    </xf>
    <xf numFmtId="0" fontId="4" fillId="0" borderId="1" xfId="0" applyFont="1" applyBorder="1" applyAlignment="1">
      <alignment horizontal="center" vertical="center"/>
    </xf>
    <xf numFmtId="1" fontId="4" fillId="0" borderId="1" xfId="0" applyNumberFormat="1" applyFont="1" applyBorder="1" applyAlignment="1">
      <alignment horizontal="center" vertical="center"/>
    </xf>
    <xf numFmtId="164" fontId="4" fillId="3" borderId="12" xfId="0" applyNumberFormat="1" applyFont="1" applyFill="1" applyBorder="1" applyAlignment="1">
      <alignment horizontal="center" vertical="center"/>
    </xf>
    <xf numFmtId="0" fontId="4" fillId="3" borderId="6" xfId="0" applyFont="1" applyFill="1" applyBorder="1" applyAlignment="1">
      <alignment vertical="center"/>
    </xf>
    <xf numFmtId="0" fontId="4" fillId="3" borderId="8" xfId="0" applyFont="1" applyFill="1" applyBorder="1" applyAlignment="1">
      <alignment horizontal="right" vertical="center"/>
    </xf>
    <xf numFmtId="0" fontId="0" fillId="3" borderId="7" xfId="0" applyFill="1" applyBorder="1" applyAlignment="1"/>
    <xf numFmtId="42" fontId="5" fillId="0" borderId="1" xfId="0" applyNumberFormat="1" applyFont="1" applyFill="1" applyBorder="1" applyAlignment="1">
      <alignment vertical="center"/>
    </xf>
    <xf numFmtId="42" fontId="1" fillId="0" borderId="12" xfId="0" applyNumberFormat="1" applyFont="1" applyFill="1" applyBorder="1" applyAlignment="1">
      <alignment horizontal="center" vertical="center"/>
    </xf>
    <xf numFmtId="0" fontId="1" fillId="0" borderId="13" xfId="0" applyNumberFormat="1" applyFont="1" applyBorder="1" applyAlignment="1">
      <alignment horizontal="center"/>
    </xf>
    <xf numFmtId="0" fontId="8" fillId="0" borderId="0" xfId="2" applyFont="1" applyFill="1" applyBorder="1" applyAlignment="1">
      <alignment horizontal="right"/>
    </xf>
    <xf numFmtId="0" fontId="0" fillId="0" borderId="0" xfId="0" applyAlignment="1">
      <alignment horizontal="left"/>
    </xf>
    <xf numFmtId="0" fontId="27" fillId="0" borderId="0" xfId="0" applyFont="1" applyBorder="1" applyAlignment="1">
      <alignment horizontal="left"/>
    </xf>
    <xf numFmtId="0" fontId="8" fillId="0" borderId="8" xfId="0" applyFont="1" applyBorder="1" applyAlignment="1">
      <alignment wrapText="1"/>
    </xf>
    <xf numFmtId="0" fontId="8" fillId="0" borderId="8" xfId="2" applyFont="1" applyFill="1" applyBorder="1"/>
    <xf numFmtId="0" fontId="8" fillId="0" borderId="8" xfId="0" applyFont="1" applyBorder="1" applyAlignment="1">
      <alignment horizontal="left"/>
    </xf>
    <xf numFmtId="0" fontId="8" fillId="0" borderId="8" xfId="0" applyFont="1" applyBorder="1"/>
    <xf numFmtId="0" fontId="8" fillId="0" borderId="8" xfId="2" applyFont="1" applyFill="1" applyBorder="1" applyAlignment="1">
      <alignment wrapText="1"/>
    </xf>
    <xf numFmtId="0" fontId="7" fillId="0" borderId="8" xfId="2" applyFont="1" applyFill="1" applyBorder="1" applyAlignment="1">
      <alignment horizontal="right"/>
    </xf>
    <xf numFmtId="0" fontId="8" fillId="0" borderId="10" xfId="2" applyFont="1" applyBorder="1"/>
    <xf numFmtId="0" fontId="8" fillId="0" borderId="1" xfId="2" applyFont="1" applyBorder="1"/>
    <xf numFmtId="0" fontId="8" fillId="0" borderId="2" xfId="2" applyFont="1" applyBorder="1"/>
    <xf numFmtId="0" fontId="8" fillId="0" borderId="3" xfId="2" applyFont="1" applyBorder="1"/>
    <xf numFmtId="0" fontId="8" fillId="0" borderId="11" xfId="2" applyFont="1" applyBorder="1"/>
    <xf numFmtId="0" fontId="8" fillId="0" borderId="15" xfId="2" applyFont="1" applyBorder="1"/>
    <xf numFmtId="0" fontId="1" fillId="0" borderId="1" xfId="0" applyFont="1" applyBorder="1" applyAlignment="1">
      <alignment vertical="center"/>
    </xf>
    <xf numFmtId="0" fontId="1" fillId="0" borderId="0" xfId="0" applyFont="1" applyBorder="1" applyAlignment="1">
      <alignment vertical="center"/>
    </xf>
    <xf numFmtId="0" fontId="1" fillId="0" borderId="1" xfId="0" applyFont="1" applyBorder="1" applyAlignment="1">
      <alignment horizontal="center"/>
    </xf>
    <xf numFmtId="42" fontId="1" fillId="0" borderId="1" xfId="0" applyNumberFormat="1" applyFont="1" applyFill="1" applyBorder="1" applyAlignment="1">
      <alignment horizontal="center"/>
    </xf>
    <xf numFmtId="0" fontId="28" fillId="0" borderId="1" xfId="0" applyFont="1" applyBorder="1"/>
    <xf numFmtId="0" fontId="28" fillId="0" borderId="2" xfId="0" applyFont="1" applyBorder="1"/>
    <xf numFmtId="0" fontId="28" fillId="0" borderId="0" xfId="0" applyFont="1" applyBorder="1"/>
    <xf numFmtId="0" fontId="28" fillId="0" borderId="3" xfId="0" applyFont="1" applyBorder="1"/>
    <xf numFmtId="0" fontId="28" fillId="0" borderId="11" xfId="0" applyFont="1" applyBorder="1"/>
    <xf numFmtId="0" fontId="28" fillId="0" borderId="15" xfId="0" applyFont="1" applyBorder="1"/>
    <xf numFmtId="0" fontId="28" fillId="0" borderId="0" xfId="0" applyFont="1"/>
    <xf numFmtId="0" fontId="1" fillId="0" borderId="4" xfId="0" applyFont="1" applyBorder="1" applyAlignment="1">
      <alignment vertical="center"/>
    </xf>
    <xf numFmtId="0" fontId="1" fillId="0" borderId="11" xfId="0" applyFont="1" applyBorder="1" applyAlignment="1">
      <alignment vertical="center"/>
    </xf>
    <xf numFmtId="42" fontId="1" fillId="0" borderId="0" xfId="0" applyNumberFormat="1" applyFont="1" applyFill="1" applyBorder="1" applyAlignment="1">
      <alignment vertical="center"/>
    </xf>
    <xf numFmtId="42" fontId="1" fillId="0" borderId="3" xfId="0" applyNumberFormat="1" applyFont="1" applyFill="1" applyBorder="1" applyAlignment="1">
      <alignment vertical="center"/>
    </xf>
    <xf numFmtId="164" fontId="1" fillId="3" borderId="6" xfId="0" applyNumberFormat="1" applyFont="1" applyFill="1" applyBorder="1" applyAlignment="1">
      <alignment horizontal="center" vertical="center"/>
    </xf>
    <xf numFmtId="164" fontId="1" fillId="3" borderId="8" xfId="0" applyNumberFormat="1" applyFont="1" applyFill="1" applyBorder="1" applyAlignment="1">
      <alignment horizontal="center" vertical="center"/>
    </xf>
    <xf numFmtId="164" fontId="1" fillId="3" borderId="7" xfId="0" applyNumberFormat="1" applyFont="1" applyFill="1" applyBorder="1" applyAlignment="1">
      <alignment horizontal="center" vertical="center"/>
    </xf>
    <xf numFmtId="42" fontId="15" fillId="8" borderId="0" xfId="2" applyNumberFormat="1" applyFont="1" applyFill="1" applyBorder="1"/>
    <xf numFmtId="42" fontId="7" fillId="8" borderId="0" xfId="2" applyNumberFormat="1" applyFont="1" applyFill="1" applyBorder="1" applyAlignment="1">
      <alignment horizontal="right"/>
    </xf>
    <xf numFmtId="44" fontId="0" fillId="0" borderId="0" xfId="0" applyNumberFormat="1"/>
    <xf numFmtId="0" fontId="5" fillId="0" borderId="11" xfId="0" applyFont="1" applyBorder="1" applyAlignment="1">
      <alignment horizontal="center" vertical="center"/>
    </xf>
    <xf numFmtId="0" fontId="8" fillId="0" borderId="8" xfId="0" applyFont="1" applyBorder="1" applyAlignment="1">
      <alignment horizontal="left" wrapText="1"/>
    </xf>
    <xf numFmtId="0" fontId="4" fillId="0" borderId="0" xfId="0" applyFont="1" applyBorder="1" applyAlignment="1">
      <alignment horizontal="left"/>
    </xf>
    <xf numFmtId="0" fontId="2" fillId="0" borderId="0" xfId="0" applyFont="1" applyAlignment="1">
      <alignment horizontal="left" vertical="top" wrapText="1"/>
    </xf>
    <xf numFmtId="42" fontId="2" fillId="0" borderId="13" xfId="1" applyNumberFormat="1" applyFont="1" applyBorder="1" applyAlignment="1">
      <alignment wrapText="1"/>
    </xf>
    <xf numFmtId="0" fontId="14" fillId="0" borderId="0" xfId="0" applyFont="1" applyBorder="1" applyAlignment="1">
      <alignment vertical="top" wrapText="1"/>
    </xf>
    <xf numFmtId="0" fontId="24" fillId="0" borderId="0" xfId="0" applyFont="1" applyBorder="1" applyAlignment="1">
      <alignment vertical="top" wrapText="1"/>
    </xf>
    <xf numFmtId="42" fontId="1" fillId="0" borderId="13" xfId="1" applyNumberFormat="1" applyFont="1" applyBorder="1" applyAlignment="1">
      <alignment wrapText="1"/>
    </xf>
    <xf numFmtId="42" fontId="1" fillId="0" borderId="13" xfId="1" applyNumberFormat="1" applyFont="1" applyBorder="1" applyAlignment="1">
      <alignment horizontal="left" wrapText="1"/>
    </xf>
    <xf numFmtId="0" fontId="1" fillId="0" borderId="5" xfId="0" applyFont="1" applyBorder="1" applyAlignment="1">
      <alignment vertical="center"/>
    </xf>
    <xf numFmtId="0" fontId="9" fillId="0" borderId="11" xfId="2" applyBorder="1"/>
    <xf numFmtId="0" fontId="19" fillId="0" borderId="8" xfId="2" applyFont="1" applyFill="1" applyBorder="1"/>
    <xf numFmtId="0" fontId="0" fillId="0" borderId="8" xfId="0" applyBorder="1"/>
    <xf numFmtId="0" fontId="9" fillId="0" borderId="8" xfId="2" applyBorder="1"/>
    <xf numFmtId="0" fontId="19" fillId="0" borderId="8" xfId="2" applyFont="1" applyBorder="1"/>
    <xf numFmtId="0" fontId="8" fillId="0" borderId="1" xfId="2" applyFont="1" applyFill="1" applyBorder="1"/>
    <xf numFmtId="0" fontId="9" fillId="0" borderId="1" xfId="2" applyBorder="1"/>
    <xf numFmtId="0" fontId="8" fillId="0" borderId="11" xfId="2" applyFont="1" applyFill="1" applyBorder="1"/>
    <xf numFmtId="0" fontId="8" fillId="0" borderId="0" xfId="2" applyFont="1" applyFill="1" applyBorder="1" applyAlignment="1">
      <alignment horizontal="left"/>
    </xf>
    <xf numFmtId="0" fontId="5" fillId="0" borderId="0" xfId="0" applyFont="1" applyFill="1" applyBorder="1" applyAlignment="1">
      <alignment horizontal="left" vertical="top" wrapText="1"/>
    </xf>
    <xf numFmtId="164" fontId="4" fillId="3" borderId="6" xfId="0" applyNumberFormat="1" applyFont="1" applyFill="1" applyBorder="1" applyAlignment="1">
      <alignment horizontal="center" vertical="center"/>
    </xf>
    <xf numFmtId="42" fontId="28" fillId="0" borderId="1" xfId="0" applyNumberFormat="1" applyFont="1" applyFill="1" applyBorder="1" applyAlignment="1">
      <alignment vertical="center"/>
    </xf>
    <xf numFmtId="42" fontId="28" fillId="0" borderId="0" xfId="0" applyNumberFormat="1" applyFont="1" applyFill="1" applyBorder="1" applyAlignment="1">
      <alignment vertical="center"/>
    </xf>
    <xf numFmtId="170" fontId="4" fillId="0" borderId="0" xfId="0" applyNumberFormat="1" applyFont="1" applyBorder="1" applyAlignment="1">
      <alignment vertical="center"/>
    </xf>
    <xf numFmtId="42" fontId="15" fillId="0" borderId="0" xfId="7" applyNumberFormat="1" applyFont="1" applyBorder="1"/>
    <xf numFmtId="42" fontId="15" fillId="0" borderId="14" xfId="7" applyNumberFormat="1" applyFont="1" applyBorder="1"/>
    <xf numFmtId="1" fontId="14" fillId="0" borderId="12" xfId="0" applyNumberFormat="1" applyFont="1" applyFill="1" applyBorder="1" applyAlignment="1" applyProtection="1">
      <alignment horizontal="center" vertical="center" wrapText="1"/>
      <protection locked="0"/>
    </xf>
    <xf numFmtId="0" fontId="14" fillId="0" borderId="12" xfId="0" applyFont="1" applyFill="1" applyBorder="1" applyAlignment="1" applyProtection="1">
      <alignment horizontal="center" vertical="center" wrapText="1"/>
      <protection locked="0"/>
    </xf>
    <xf numFmtId="0" fontId="14" fillId="0" borderId="12" xfId="0" applyFont="1" applyFill="1" applyBorder="1" applyAlignment="1" applyProtection="1">
      <alignment horizontal="center" vertical="center"/>
      <protection locked="0"/>
    </xf>
    <xf numFmtId="37" fontId="14" fillId="0" borderId="12" xfId="0" applyNumberFormat="1" applyFont="1" applyFill="1" applyBorder="1" applyAlignment="1" applyProtection="1">
      <alignment horizontal="center" vertical="center"/>
      <protection locked="0"/>
    </xf>
    <xf numFmtId="42" fontId="14" fillId="0" borderId="12" xfId="0" applyNumberFormat="1" applyFont="1" applyFill="1" applyBorder="1" applyAlignment="1" applyProtection="1">
      <alignment horizontal="center" vertical="center"/>
      <protection locked="0"/>
    </xf>
    <xf numFmtId="0" fontId="23" fillId="0" borderId="12" xfId="0" applyFont="1" applyBorder="1" applyProtection="1">
      <protection locked="0"/>
    </xf>
    <xf numFmtId="42" fontId="25" fillId="0" borderId="13" xfId="0" applyNumberFormat="1" applyFont="1" applyBorder="1" applyProtection="1">
      <protection locked="0"/>
    </xf>
    <xf numFmtId="42" fontId="25" fillId="0" borderId="12" xfId="0" applyNumberFormat="1" applyFont="1" applyBorder="1" applyProtection="1">
      <protection locked="0"/>
    </xf>
    <xf numFmtId="42" fontId="13" fillId="0" borderId="13" xfId="0" applyNumberFormat="1" applyFont="1" applyBorder="1" applyAlignment="1" applyProtection="1">
      <protection locked="0"/>
    </xf>
    <xf numFmtId="42" fontId="13" fillId="0" borderId="12" xfId="0" applyNumberFormat="1" applyFont="1" applyBorder="1" applyAlignment="1" applyProtection="1">
      <protection locked="0"/>
    </xf>
    <xf numFmtId="42" fontId="13" fillId="0" borderId="13" xfId="0" applyNumberFormat="1" applyFont="1" applyFill="1" applyBorder="1" applyAlignment="1" applyProtection="1">
      <alignment vertical="center"/>
      <protection locked="0"/>
    </xf>
    <xf numFmtId="42" fontId="13" fillId="0" borderId="12" xfId="0" applyNumberFormat="1" applyFont="1" applyFill="1" applyBorder="1" applyAlignment="1" applyProtection="1">
      <alignment vertical="center"/>
      <protection locked="0"/>
    </xf>
    <xf numFmtId="42" fontId="13" fillId="0" borderId="2" xfId="0" applyNumberFormat="1" applyFont="1" applyFill="1" applyBorder="1" applyAlignment="1" applyProtection="1">
      <alignment vertical="center"/>
      <protection locked="0"/>
    </xf>
    <xf numFmtId="42" fontId="25" fillId="0" borderId="12" xfId="0" applyNumberFormat="1" applyFont="1" applyFill="1" applyBorder="1" applyProtection="1">
      <protection locked="0"/>
    </xf>
    <xf numFmtId="0" fontId="7" fillId="0" borderId="6" xfId="2" applyFont="1" applyBorder="1" applyAlignment="1"/>
    <xf numFmtId="0" fontId="7" fillId="0" borderId="8" xfId="2" applyFont="1" applyBorder="1" applyAlignment="1"/>
    <xf numFmtId="0" fontId="7" fillId="0" borderId="7" xfId="2" applyFont="1" applyBorder="1" applyAlignment="1"/>
    <xf numFmtId="0" fontId="4" fillId="0" borderId="0" xfId="0" applyFont="1" applyBorder="1" applyAlignment="1">
      <alignment horizontal="left"/>
    </xf>
    <xf numFmtId="9" fontId="19" fillId="0" borderId="0" xfId="4" applyFont="1" applyFill="1" applyBorder="1" applyAlignment="1" applyProtection="1">
      <alignment horizontal="center"/>
      <protection locked="0"/>
    </xf>
    <xf numFmtId="0" fontId="8" fillId="0" borderId="8" xfId="2" applyFont="1" applyFill="1" applyBorder="1" applyAlignment="1">
      <alignment horizontal="right"/>
    </xf>
    <xf numFmtId="1" fontId="19" fillId="8" borderId="8" xfId="2" applyNumberFormat="1" applyFont="1" applyFill="1" applyBorder="1" applyAlignment="1" applyProtection="1">
      <alignment horizontal="center"/>
      <protection locked="0"/>
    </xf>
    <xf numFmtId="9" fontId="0" fillId="0" borderId="8" xfId="4" applyFont="1" applyBorder="1" applyAlignment="1">
      <alignment horizontal="center"/>
    </xf>
    <xf numFmtId="42" fontId="5" fillId="0" borderId="12" xfId="0" applyNumberFormat="1" applyFont="1" applyFill="1" applyBorder="1" applyAlignment="1">
      <alignment horizontal="center" vertical="center"/>
    </xf>
    <xf numFmtId="42" fontId="14" fillId="0" borderId="12" xfId="1" applyNumberFormat="1" applyFont="1" applyBorder="1" applyAlignment="1" applyProtection="1">
      <alignment horizontal="center" vertical="center"/>
      <protection locked="0"/>
    </xf>
    <xf numFmtId="0" fontId="1" fillId="0" borderId="12" xfId="0" applyFont="1" applyBorder="1" applyAlignment="1">
      <alignment horizontal="center" vertical="center"/>
    </xf>
    <xf numFmtId="42" fontId="14" fillId="0" borderId="12" xfId="1" applyNumberFormat="1" applyFont="1" applyFill="1" applyBorder="1" applyAlignment="1" applyProtection="1">
      <alignment horizontal="center" vertical="center"/>
      <protection locked="0"/>
    </xf>
    <xf numFmtId="2" fontId="19" fillId="8" borderId="12" xfId="2" applyNumberFormat="1" applyFont="1" applyFill="1" applyBorder="1" applyAlignment="1" applyProtection="1">
      <alignment horizontal="center"/>
      <protection locked="0"/>
    </xf>
    <xf numFmtId="168" fontId="19" fillId="8" borderId="12" xfId="4" applyNumberFormat="1" applyFont="1" applyFill="1" applyBorder="1" applyAlignment="1" applyProtection="1">
      <alignment horizontal="center"/>
      <protection locked="0"/>
    </xf>
    <xf numFmtId="1" fontId="19" fillId="8" borderId="12" xfId="2" applyNumberFormat="1" applyFont="1" applyFill="1" applyBorder="1" applyAlignment="1" applyProtection="1">
      <alignment horizontal="center"/>
      <protection locked="0"/>
    </xf>
    <xf numFmtId="9" fontId="19" fillId="8" borderId="12" xfId="4" applyFont="1" applyFill="1" applyBorder="1" applyAlignment="1" applyProtection="1">
      <alignment horizontal="center"/>
      <protection locked="0"/>
    </xf>
    <xf numFmtId="168" fontId="19" fillId="0" borderId="12" xfId="4" applyNumberFormat="1" applyFont="1" applyBorder="1" applyAlignment="1" applyProtection="1">
      <alignment horizontal="center"/>
      <protection locked="0"/>
    </xf>
    <xf numFmtId="0" fontId="19" fillId="0" borderId="12" xfId="2" applyFont="1" applyFill="1" applyBorder="1" applyAlignment="1" applyProtection="1">
      <alignment horizontal="center"/>
      <protection locked="0"/>
    </xf>
    <xf numFmtId="0" fontId="1" fillId="0" borderId="16" xfId="0" applyFont="1" applyFill="1" applyBorder="1" applyAlignment="1">
      <alignment horizontal="center" vertical="center"/>
    </xf>
    <xf numFmtId="0" fontId="1" fillId="0" borderId="16" xfId="0" applyFont="1" applyBorder="1" applyAlignment="1">
      <alignment horizontal="center" vertical="center"/>
    </xf>
    <xf numFmtId="42" fontId="14" fillId="0" borderId="13" xfId="1" applyNumberFormat="1" applyFont="1" applyBorder="1" applyAlignment="1" applyProtection="1">
      <alignment horizontal="center" vertical="center"/>
      <protection locked="0"/>
    </xf>
    <xf numFmtId="42" fontId="14" fillId="0" borderId="13" xfId="0" applyNumberFormat="1" applyFont="1" applyFill="1" applyBorder="1" applyAlignment="1" applyProtection="1">
      <alignment horizontal="center" vertical="center"/>
      <protection locked="0"/>
    </xf>
    <xf numFmtId="42" fontId="5" fillId="0" borderId="13" xfId="0" applyNumberFormat="1" applyFont="1" applyFill="1" applyBorder="1" applyAlignment="1">
      <alignment horizontal="center" vertical="center"/>
    </xf>
    <xf numFmtId="0" fontId="1" fillId="0" borderId="13" xfId="0" applyFont="1" applyFill="1" applyBorder="1" applyAlignment="1">
      <alignment horizontal="center" vertical="center"/>
    </xf>
    <xf numFmtId="0" fontId="4" fillId="0" borderId="12" xfId="0" applyFont="1" applyFill="1" applyBorder="1" applyAlignment="1">
      <alignment horizontal="center" vertical="center" wrapText="1"/>
    </xf>
    <xf numFmtId="0" fontId="4" fillId="0" borderId="12" xfId="0" applyFont="1" applyFill="1" applyBorder="1" applyAlignment="1">
      <alignment vertical="center" wrapText="1"/>
    </xf>
    <xf numFmtId="42" fontId="18" fillId="3" borderId="8" xfId="0" applyNumberFormat="1" applyFont="1" applyFill="1" applyBorder="1" applyAlignment="1"/>
    <xf numFmtId="0" fontId="20" fillId="9" borderId="0" xfId="2" applyFont="1" applyFill="1"/>
    <xf numFmtId="0" fontId="13" fillId="0" borderId="12" xfId="0" applyFont="1" applyFill="1" applyBorder="1" applyAlignment="1">
      <alignment horizontal="center" vertical="center" wrapText="1"/>
    </xf>
    <xf numFmtId="0" fontId="31" fillId="0" borderId="0" xfId="0" applyFont="1"/>
    <xf numFmtId="0" fontId="32" fillId="0" borderId="9" xfId="0" applyFont="1" applyBorder="1" applyAlignment="1">
      <alignment vertical="center"/>
    </xf>
    <xf numFmtId="0" fontId="32" fillId="0" borderId="11" xfId="0" applyFont="1" applyBorder="1" applyAlignment="1">
      <alignment horizontal="center" vertical="center"/>
    </xf>
    <xf numFmtId="0" fontId="32" fillId="0" borderId="11" xfId="0" applyFont="1" applyBorder="1" applyAlignment="1">
      <alignment vertical="center"/>
    </xf>
    <xf numFmtId="0" fontId="32" fillId="0" borderId="15" xfId="0" applyFont="1" applyBorder="1" applyAlignment="1">
      <alignment horizontal="center" vertical="center"/>
    </xf>
    <xf numFmtId="164" fontId="1" fillId="0" borderId="12" xfId="0" applyNumberFormat="1" applyFont="1" applyFill="1" applyBorder="1" applyAlignment="1">
      <alignment horizontal="center" vertical="center"/>
    </xf>
    <xf numFmtId="164" fontId="1" fillId="0" borderId="12" xfId="0" applyNumberFormat="1" applyFont="1" applyFill="1" applyBorder="1" applyAlignment="1">
      <alignment horizontal="center" vertical="center" wrapText="1"/>
    </xf>
    <xf numFmtId="0" fontId="1" fillId="0" borderId="2" xfId="0" applyFont="1" applyBorder="1" applyAlignment="1">
      <alignment vertical="center"/>
    </xf>
    <xf numFmtId="0" fontId="1" fillId="0" borderId="3" xfId="0" applyFont="1" applyBorder="1" applyAlignment="1">
      <alignment vertical="center"/>
    </xf>
    <xf numFmtId="0" fontId="23" fillId="0" borderId="13" xfId="0" applyFont="1" applyBorder="1" applyProtection="1">
      <protection locked="0"/>
    </xf>
    <xf numFmtId="0" fontId="4" fillId="0" borderId="12" xfId="0" applyFont="1" applyFill="1" applyBorder="1" applyAlignment="1">
      <alignment wrapText="1"/>
    </xf>
    <xf numFmtId="42" fontId="7" fillId="0" borderId="8" xfId="2" applyNumberFormat="1" applyFont="1" applyBorder="1" applyAlignment="1"/>
    <xf numFmtId="44" fontId="7" fillId="0" borderId="8" xfId="2" applyNumberFormat="1" applyFont="1" applyBorder="1" applyAlignment="1"/>
    <xf numFmtId="0" fontId="26" fillId="0" borderId="8" xfId="0" applyFont="1" applyFill="1" applyBorder="1" applyAlignment="1">
      <alignment horizontal="left" wrapText="1" indent="1"/>
    </xf>
    <xf numFmtId="42" fontId="2" fillId="0" borderId="8" xfId="0" applyNumberFormat="1" applyFont="1" applyFill="1" applyBorder="1" applyAlignment="1">
      <alignment horizontal="center"/>
    </xf>
    <xf numFmtId="37" fontId="14" fillId="0" borderId="1" xfId="0" applyNumberFormat="1" applyFont="1" applyFill="1" applyBorder="1" applyAlignment="1">
      <alignment horizontal="center" vertical="center"/>
    </xf>
    <xf numFmtId="42" fontId="5" fillId="0" borderId="3" xfId="0" applyNumberFormat="1" applyFont="1" applyFill="1" applyBorder="1" applyAlignment="1">
      <alignment vertical="center"/>
    </xf>
    <xf numFmtId="37" fontId="14" fillId="0" borderId="11" xfId="0" applyNumberFormat="1" applyFont="1" applyFill="1" applyBorder="1" applyAlignment="1">
      <alignment horizontal="center" vertical="center"/>
    </xf>
    <xf numFmtId="42" fontId="5" fillId="0" borderId="15" xfId="0" applyNumberFormat="1" applyFont="1" applyFill="1" applyBorder="1" applyAlignment="1">
      <alignment vertical="center"/>
    </xf>
    <xf numFmtId="0" fontId="16" fillId="0" borderId="6" xfId="2" applyFont="1" applyBorder="1"/>
    <xf numFmtId="0" fontId="15" fillId="0" borderId="8" xfId="2" applyFont="1" applyBorder="1"/>
    <xf numFmtId="42" fontId="15" fillId="0" borderId="8" xfId="2" applyNumberFormat="1" applyFont="1" applyBorder="1"/>
    <xf numFmtId="167" fontId="15" fillId="0" borderId="0" xfId="4" applyNumberFormat="1" applyFont="1" applyFill="1" applyBorder="1"/>
    <xf numFmtId="167" fontId="16" fillId="3" borderId="0" xfId="4" applyNumberFormat="1" applyFont="1" applyFill="1" applyBorder="1"/>
    <xf numFmtId="42" fontId="28" fillId="0" borderId="12" xfId="0" applyNumberFormat="1" applyFont="1" applyBorder="1"/>
    <xf numFmtId="0" fontId="0" fillId="0" borderId="0" xfId="0" applyAlignment="1" applyProtection="1">
      <alignment horizontal="center"/>
      <protection locked="0"/>
    </xf>
    <xf numFmtId="0" fontId="0" fillId="0" borderId="0" xfId="0" applyAlignment="1" applyProtection="1">
      <alignment wrapText="1"/>
      <protection locked="0"/>
    </xf>
    <xf numFmtId="9" fontId="23" fillId="0" borderId="0" xfId="4" applyFont="1" applyProtection="1">
      <protection locked="0"/>
    </xf>
    <xf numFmtId="9" fontId="28" fillId="0" borderId="0" xfId="4" applyFont="1" applyProtection="1">
      <protection locked="0"/>
    </xf>
    <xf numFmtId="0" fontId="2" fillId="0" borderId="2" xfId="0" applyFont="1" applyFill="1" applyBorder="1" applyAlignment="1">
      <alignment horizontal="center"/>
    </xf>
    <xf numFmtId="42" fontId="4" fillId="3" borderId="7" xfId="0" applyNumberFormat="1" applyFont="1" applyFill="1" applyBorder="1" applyAlignment="1">
      <alignment vertical="center"/>
    </xf>
    <xf numFmtId="42" fontId="5" fillId="0" borderId="11" xfId="0" applyNumberFormat="1" applyFont="1" applyFill="1" applyBorder="1" applyAlignment="1">
      <alignment vertical="center"/>
    </xf>
    <xf numFmtId="0" fontId="18" fillId="3" borderId="6" xfId="0" applyFont="1" applyFill="1" applyBorder="1" applyAlignment="1">
      <alignment horizontal="center"/>
    </xf>
    <xf numFmtId="0" fontId="18" fillId="3" borderId="8" xfId="0" applyFont="1" applyFill="1" applyBorder="1" applyAlignment="1">
      <alignment wrapText="1"/>
    </xf>
    <xf numFmtId="0" fontId="0" fillId="3" borderId="8" xfId="0" applyFill="1" applyBorder="1"/>
    <xf numFmtId="42" fontId="18" fillId="3" borderId="8" xfId="1" applyNumberFormat="1" applyFont="1" applyFill="1" applyBorder="1"/>
    <xf numFmtId="42" fontId="4" fillId="3" borderId="8" xfId="0" applyNumberFormat="1" applyFont="1" applyFill="1" applyBorder="1" applyAlignment="1">
      <alignment vertical="center"/>
    </xf>
    <xf numFmtId="0" fontId="33" fillId="7" borderId="0" xfId="2" applyFont="1" applyFill="1"/>
    <xf numFmtId="0" fontId="18" fillId="0" borderId="12" xfId="0" applyFont="1" applyFill="1" applyBorder="1" applyAlignment="1">
      <alignment horizontal="center" vertical="center" wrapText="1"/>
    </xf>
    <xf numFmtId="0" fontId="2" fillId="0" borderId="12" xfId="0" applyFont="1" applyBorder="1" applyAlignment="1">
      <alignment horizontal="center" vertical="center"/>
    </xf>
    <xf numFmtId="42" fontId="5" fillId="0" borderId="2" xfId="0" applyNumberFormat="1" applyFont="1" applyFill="1" applyBorder="1" applyAlignment="1">
      <alignment vertical="center"/>
    </xf>
    <xf numFmtId="0" fontId="14" fillId="0" borderId="12" xfId="2" applyFont="1" applyBorder="1" applyAlignment="1" applyProtection="1">
      <alignment horizontal="center" wrapText="1"/>
      <protection locked="0"/>
    </xf>
    <xf numFmtId="0" fontId="14" fillId="0" borderId="0" xfId="2" applyFont="1" applyFill="1" applyBorder="1" applyAlignment="1" applyProtection="1">
      <alignment horizontal="left"/>
      <protection locked="0"/>
    </xf>
    <xf numFmtId="0" fontId="14" fillId="0" borderId="0" xfId="0" applyFont="1" applyFill="1" applyBorder="1" applyAlignment="1" applyProtection="1">
      <alignment horizontal="left"/>
      <protection locked="0"/>
    </xf>
    <xf numFmtId="0" fontId="29" fillId="0" borderId="12" xfId="0" applyFont="1" applyBorder="1" applyAlignment="1" applyProtection="1">
      <alignment wrapText="1"/>
      <protection locked="0"/>
    </xf>
    <xf numFmtId="0" fontId="0" fillId="0" borderId="12" xfId="0" applyBorder="1" applyAlignment="1" applyProtection="1">
      <alignment horizontal="center"/>
      <protection locked="0"/>
    </xf>
    <xf numFmtId="0" fontId="0" fillId="0" borderId="12" xfId="0" applyBorder="1" applyAlignment="1" applyProtection="1">
      <alignment wrapText="1"/>
      <protection locked="0"/>
    </xf>
    <xf numFmtId="167" fontId="28" fillId="0" borderId="12" xfId="4" applyNumberFormat="1" applyFont="1" applyBorder="1" applyProtection="1">
      <protection locked="0"/>
    </xf>
    <xf numFmtId="0" fontId="27" fillId="0" borderId="0" xfId="0" applyFont="1" applyBorder="1" applyAlignment="1">
      <alignment horizontal="center"/>
    </xf>
    <xf numFmtId="0" fontId="30" fillId="0" borderId="0" xfId="0" applyFont="1" applyBorder="1" applyAlignment="1">
      <alignment horizontal="center"/>
    </xf>
    <xf numFmtId="167" fontId="0" fillId="0" borderId="8" xfId="4" applyNumberFormat="1" applyFont="1" applyBorder="1" applyAlignment="1">
      <alignment horizontal="center"/>
    </xf>
    <xf numFmtId="0" fontId="20" fillId="0" borderId="0" xfId="2" applyFont="1" applyFill="1" applyBorder="1" applyAlignment="1">
      <alignment horizontal="left" wrapText="1"/>
    </xf>
    <xf numFmtId="0" fontId="27" fillId="0" borderId="0" xfId="0" applyFont="1" applyBorder="1" applyAlignment="1">
      <alignment wrapText="1"/>
    </xf>
    <xf numFmtId="0" fontId="20" fillId="0" borderId="0" xfId="2" applyFont="1" applyFill="1" applyBorder="1" applyAlignment="1">
      <alignment wrapText="1"/>
    </xf>
    <xf numFmtId="0" fontId="0" fillId="0" borderId="0" xfId="0" applyAlignment="1">
      <alignment wrapText="1"/>
    </xf>
    <xf numFmtId="0" fontId="13" fillId="0" borderId="5" xfId="0" applyFont="1" applyFill="1" applyBorder="1" applyAlignment="1">
      <alignment horizontal="left"/>
    </xf>
    <xf numFmtId="0" fontId="13" fillId="0" borderId="0" xfId="0" applyFont="1" applyFill="1" applyBorder="1" applyAlignment="1">
      <alignment horizontal="left"/>
    </xf>
    <xf numFmtId="0" fontId="18" fillId="0" borderId="0" xfId="0" applyFont="1" applyFill="1" applyBorder="1" applyAlignment="1">
      <alignment horizontal="left"/>
    </xf>
    <xf numFmtId="0" fontId="7" fillId="0" borderId="6" xfId="0" applyFont="1" applyFill="1" applyBorder="1" applyAlignment="1">
      <alignment horizontal="center" wrapText="1"/>
    </xf>
    <xf numFmtId="0" fontId="7" fillId="0" borderId="12" xfId="0" applyFont="1" applyFill="1" applyBorder="1" applyAlignment="1">
      <alignment horizontal="center" wrapText="1"/>
    </xf>
    <xf numFmtId="0" fontId="12" fillId="0" borderId="12" xfId="0" applyFont="1" applyFill="1" applyBorder="1" applyAlignment="1">
      <alignment horizontal="center" wrapText="1"/>
    </xf>
    <xf numFmtId="0" fontId="12" fillId="0" borderId="12" xfId="2" applyFont="1" applyBorder="1" applyAlignment="1">
      <alignment horizontal="center" wrapText="1"/>
    </xf>
    <xf numFmtId="0" fontId="7" fillId="0" borderId="7" xfId="0" applyFont="1" applyFill="1" applyBorder="1" applyAlignment="1">
      <alignment horizontal="center" wrapText="1"/>
    </xf>
    <xf numFmtId="164" fontId="0" fillId="0" borderId="0" xfId="1" applyNumberFormat="1" applyFont="1"/>
    <xf numFmtId="9" fontId="0" fillId="0" borderId="0" xfId="4" applyFont="1"/>
    <xf numFmtId="9" fontId="0" fillId="0" borderId="0" xfId="0" applyNumberFormat="1"/>
    <xf numFmtId="0" fontId="7" fillId="0" borderId="7" xfId="2" applyFont="1" applyBorder="1" applyAlignment="1">
      <alignment horizontal="center"/>
    </xf>
    <xf numFmtId="165" fontId="15" fillId="0" borderId="3" xfId="2" applyNumberFormat="1" applyFont="1" applyBorder="1"/>
    <xf numFmtId="42" fontId="15" fillId="0" borderId="3" xfId="7" applyNumberFormat="1" applyFont="1" applyBorder="1"/>
    <xf numFmtId="42" fontId="15" fillId="0" borderId="3" xfId="2" applyNumberFormat="1" applyFont="1" applyBorder="1"/>
    <xf numFmtId="42" fontId="15" fillId="0" borderId="7" xfId="2" applyNumberFormat="1" applyFont="1" applyBorder="1"/>
    <xf numFmtId="0" fontId="15" fillId="0" borderId="3" xfId="2" applyFont="1" applyBorder="1"/>
    <xf numFmtId="164" fontId="16" fillId="3" borderId="3" xfId="2" applyNumberFormat="1" applyFont="1" applyFill="1" applyBorder="1"/>
    <xf numFmtId="164" fontId="15" fillId="0" borderId="3" xfId="2" applyNumberFormat="1" applyFont="1" applyBorder="1"/>
    <xf numFmtId="164" fontId="15" fillId="0" borderId="15" xfId="2" applyNumberFormat="1" applyFont="1" applyBorder="1"/>
    <xf numFmtId="0" fontId="8" fillId="0" borderId="8" xfId="0" applyFont="1" applyBorder="1" applyAlignment="1">
      <alignment horizontal="left" wrapText="1"/>
    </xf>
    <xf numFmtId="0" fontId="8" fillId="0" borderId="0" xfId="2" applyFont="1" applyAlignment="1">
      <alignment horizontal="left" wrapText="1"/>
    </xf>
    <xf numFmtId="0" fontId="8" fillId="0" borderId="0" xfId="2" applyFont="1" applyFill="1" applyAlignment="1">
      <alignment horizontal="left" wrapText="1"/>
    </xf>
    <xf numFmtId="0" fontId="19" fillId="0" borderId="8" xfId="2" applyFont="1" applyFill="1" applyBorder="1" applyAlignment="1">
      <alignment horizontal="left" vertical="top"/>
    </xf>
    <xf numFmtId="0" fontId="8" fillId="0" borderId="8" xfId="2" applyFont="1" applyBorder="1" applyAlignment="1">
      <alignment vertical="top"/>
    </xf>
    <xf numFmtId="0" fontId="27" fillId="0" borderId="0" xfId="0" applyFont="1" applyBorder="1" applyAlignment="1">
      <alignment horizontal="center"/>
    </xf>
    <xf numFmtId="0" fontId="13" fillId="0" borderId="5" xfId="0" applyFont="1" applyFill="1" applyBorder="1" applyAlignment="1">
      <alignment horizontal="left"/>
    </xf>
    <xf numFmtId="0" fontId="13" fillId="0" borderId="0" xfId="0" applyFont="1" applyFill="1" applyBorder="1" applyAlignment="1">
      <alignment horizontal="left"/>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1" fillId="0" borderId="11" xfId="0" applyFont="1" applyBorder="1" applyAlignment="1">
      <alignment horizontal="left" vertical="center" wrapText="1"/>
    </xf>
    <xf numFmtId="0" fontId="18" fillId="0" borderId="5" xfId="0" applyFont="1" applyFill="1" applyBorder="1" applyAlignment="1">
      <alignment horizontal="left"/>
    </xf>
    <xf numFmtId="0" fontId="18" fillId="0" borderId="0" xfId="0" applyFont="1" applyFill="1" applyBorder="1" applyAlignment="1">
      <alignment horizontal="left"/>
    </xf>
    <xf numFmtId="0" fontId="18" fillId="0" borderId="3" xfId="0" applyFont="1" applyFill="1" applyBorder="1" applyAlignment="1">
      <alignment horizontal="left"/>
    </xf>
    <xf numFmtId="0" fontId="23" fillId="0" borderId="0" xfId="0" applyFont="1" applyAlignment="1">
      <alignment horizontal="left" vertical="top" wrapText="1"/>
    </xf>
    <xf numFmtId="0" fontId="4" fillId="0" borderId="0" xfId="7" applyFont="1" applyAlignment="1">
      <alignment horizontal="left"/>
    </xf>
    <xf numFmtId="0" fontId="4" fillId="0" borderId="0" xfId="0" applyFont="1" applyBorder="1" applyAlignment="1">
      <alignment horizontal="left"/>
    </xf>
    <xf numFmtId="0" fontId="4" fillId="0" borderId="0" xfId="0" applyFont="1" applyBorder="1" applyAlignment="1">
      <alignment horizontal="left" vertical="top"/>
    </xf>
    <xf numFmtId="0" fontId="1" fillId="0" borderId="0" xfId="0" applyFont="1" applyBorder="1" applyAlignment="1">
      <alignment horizontal="left" vertical="top" wrapText="1"/>
    </xf>
    <xf numFmtId="0" fontId="4" fillId="0" borderId="0" xfId="0" applyFont="1" applyFill="1" applyBorder="1" applyAlignment="1">
      <alignment horizontal="left" vertical="top"/>
    </xf>
    <xf numFmtId="0" fontId="2" fillId="0" borderId="0" xfId="0" applyFont="1" applyAlignment="1">
      <alignment horizontal="left" vertical="top" wrapText="1"/>
    </xf>
    <xf numFmtId="0" fontId="2" fillId="0" borderId="0" xfId="0" applyFont="1" applyAlignment="1">
      <alignment horizontal="center" vertical="top" wrapText="1"/>
    </xf>
    <xf numFmtId="167" fontId="23" fillId="0" borderId="12" xfId="4" applyNumberFormat="1" applyFont="1" applyBorder="1" applyProtection="1"/>
    <xf numFmtId="0" fontId="4" fillId="0" borderId="10" xfId="0" applyFont="1" applyBorder="1" applyAlignment="1">
      <alignment vertical="center"/>
    </xf>
    <xf numFmtId="0" fontId="5" fillId="0" borderId="2" xfId="0" applyFont="1" applyBorder="1" applyAlignment="1">
      <alignment vertical="center"/>
    </xf>
    <xf numFmtId="0" fontId="4" fillId="0" borderId="5" xfId="0" applyFont="1" applyFill="1" applyBorder="1" applyAlignment="1">
      <alignment vertical="center"/>
    </xf>
    <xf numFmtId="0" fontId="5" fillId="0" borderId="3" xfId="0" applyFont="1" applyBorder="1" applyAlignment="1">
      <alignment vertical="center"/>
    </xf>
    <xf numFmtId="0" fontId="4" fillId="0" borderId="9" xfId="0" applyFont="1" applyBorder="1" applyAlignment="1">
      <alignment vertical="center"/>
    </xf>
    <xf numFmtId="0" fontId="2" fillId="0" borderId="3" xfId="0" applyFont="1" applyFill="1" applyBorder="1" applyAlignment="1">
      <alignment horizontal="center"/>
    </xf>
  </cellXfs>
  <cellStyles count="8">
    <cellStyle name="Currency" xfId="1" builtinId="4"/>
    <cellStyle name="Hyperlink 3" xfId="6"/>
    <cellStyle name="Normal" xfId="0" builtinId="0"/>
    <cellStyle name="Normal 10" xfId="5"/>
    <cellStyle name="Normal 2" xfId="2"/>
    <cellStyle name="Normal 2 2" xfId="7"/>
    <cellStyle name="Percent" xfId="4" builtinId="5"/>
    <cellStyle name="Percent 2" xfId="3"/>
  </cellStyles>
  <dxfs count="25">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ill>
        <patternFill>
          <bgColor rgb="FFFFFF00"/>
        </patternFill>
      </fill>
    </dxf>
    <dxf>
      <fill>
        <patternFill>
          <bgColor rgb="FFFFFF00"/>
        </patternFill>
      </fill>
    </dxf>
    <dxf>
      <font>
        <color auto="1"/>
      </font>
      <fill>
        <patternFill>
          <bgColor rgb="FFFFFF00"/>
        </patternFill>
      </fill>
    </dxf>
  </dxfs>
  <tableStyles count="0" defaultTableStyle="TableStyleMedium9" defaultPivotStyle="PivotStyleLight16"/>
  <colors>
    <mruColors>
      <color rgb="FFFF6600"/>
      <color rgb="FFD60093"/>
      <color rgb="FFCC3399"/>
      <color rgb="FFDA6CB5"/>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hartsheet" Target="chartsheets/sheet2.xml"/><Relationship Id="rId18" Type="http://schemas.openxmlformats.org/officeDocument/2006/relationships/chartsheet" Target="chartsheets/sheet7.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chartsheet" Target="chartsheets/sheet1.xml"/><Relationship Id="rId17" Type="http://schemas.openxmlformats.org/officeDocument/2006/relationships/chartsheet" Target="chartsheets/sheet6.xml"/><Relationship Id="rId2" Type="http://schemas.openxmlformats.org/officeDocument/2006/relationships/worksheet" Target="worksheets/sheet2.xml"/><Relationship Id="rId16" Type="http://schemas.openxmlformats.org/officeDocument/2006/relationships/chartsheet" Target="chartsheets/sheet5.xml"/><Relationship Id="rId20" Type="http://schemas.openxmlformats.org/officeDocument/2006/relationships/worksheet" Target="worksheets/sheet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hartsheet" Target="chartsheets/sheet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hartsheet" Target="chartsheets/sheet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hartsheet" Target="chartsheets/sheet3.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WRWTP 2017 MPU - </a:t>
            </a:r>
            <a:endParaRPr lang="en-US" sz="1400">
              <a:effectLst/>
            </a:endParaRPr>
          </a:p>
          <a:p>
            <a:pPr>
              <a:defRPr/>
            </a:pPr>
            <a:r>
              <a:rPr lang="en-US" sz="1400" b="0" i="0" baseline="0">
                <a:effectLst/>
              </a:rPr>
              <a:t>Near Term CIP (By Project)</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3"/>
          <c:order val="0"/>
          <c:tx>
            <c:strRef>
              <c:f>'Financial Summary (2017)'!$A$23</c:f>
              <c:strCache>
                <c:ptCount val="1"/>
                <c:pt idx="0">
                  <c:v>Repair &amp; Replace</c:v>
                </c:pt>
              </c:strCache>
            </c:strRef>
          </c:tx>
          <c:spPr>
            <a:solidFill>
              <a:schemeClr val="accent4"/>
            </a:solidFill>
            <a:ln>
              <a:noFill/>
            </a:ln>
            <a:effectLst/>
          </c:spPr>
          <c:invertIfNegative val="0"/>
          <c:cat>
            <c:numRef>
              <c:extLst>
                <c:ext xmlns:c15="http://schemas.microsoft.com/office/drawing/2012/chart" uri="{02D57815-91ED-43cb-92C2-25804820EDAC}">
                  <c15:fullRef>
                    <c15:sqref>'Financial Summary (2017)'!$D$2:$I$2</c15:sqref>
                  </c15:fullRef>
                </c:ext>
              </c:extLst>
              <c:f>'Financial Summary (2017)'!$E$2:$I$2</c:f>
              <c:numCache>
                <c:formatCode>General</c:formatCode>
                <c:ptCount val="5"/>
                <c:pt idx="0">
                  <c:v>2018</c:v>
                </c:pt>
                <c:pt idx="1">
                  <c:v>2019</c:v>
                </c:pt>
                <c:pt idx="2">
                  <c:v>2020</c:v>
                </c:pt>
                <c:pt idx="3">
                  <c:v>2021</c:v>
                </c:pt>
                <c:pt idx="4">
                  <c:v>2022</c:v>
                </c:pt>
              </c:numCache>
            </c:numRef>
          </c:cat>
          <c:val>
            <c:numRef>
              <c:extLst>
                <c:ext xmlns:c15="http://schemas.microsoft.com/office/drawing/2012/chart" uri="{02D57815-91ED-43cb-92C2-25804820EDAC}">
                  <c15:fullRef>
                    <c15:sqref>'Financial Summary (2017)'!$D$27:$I$27</c15:sqref>
                  </c15:fullRef>
                </c:ext>
              </c:extLst>
              <c:f>'Financial Summary (2017)'!$E$27:$I$27</c:f>
              <c:numCache>
                <c:formatCode>_("$"* #,##0_);_("$"* \(#,##0\);_("$"* "-"_);_(@_)</c:formatCode>
                <c:ptCount val="5"/>
                <c:pt idx="0">
                  <c:v>0</c:v>
                </c:pt>
                <c:pt idx="1">
                  <c:v>1491722.1</c:v>
                </c:pt>
                <c:pt idx="2">
                  <c:v>1592020.1</c:v>
                </c:pt>
                <c:pt idx="3">
                  <c:v>12512.5</c:v>
                </c:pt>
                <c:pt idx="4">
                  <c:v>3419893.4</c:v>
                </c:pt>
              </c:numCache>
            </c:numRef>
          </c:val>
        </c:ser>
        <c:ser>
          <c:idx val="5"/>
          <c:order val="1"/>
          <c:tx>
            <c:strRef>
              <c:f>'Financial Summary (2017)'!$A$13</c:f>
              <c:strCache>
                <c:ptCount val="1"/>
                <c:pt idx="0">
                  <c:v>Seismic Retrofits</c:v>
                </c:pt>
              </c:strCache>
            </c:strRef>
          </c:tx>
          <c:spPr>
            <a:solidFill>
              <a:srgbClr val="92D050"/>
            </a:solidFill>
            <a:ln>
              <a:noFill/>
            </a:ln>
            <a:effectLst/>
          </c:spPr>
          <c:invertIfNegative val="0"/>
          <c:cat>
            <c:numRef>
              <c:extLst>
                <c:ext xmlns:c15="http://schemas.microsoft.com/office/drawing/2012/chart" uri="{02D57815-91ED-43cb-92C2-25804820EDAC}">
                  <c15:fullRef>
                    <c15:sqref>'Financial Summary (2017)'!$D$2:$I$2</c15:sqref>
                  </c15:fullRef>
                </c:ext>
              </c:extLst>
              <c:f>'Financial Summary (2017)'!$E$2:$I$2</c:f>
              <c:numCache>
                <c:formatCode>General</c:formatCode>
                <c:ptCount val="5"/>
                <c:pt idx="0">
                  <c:v>2018</c:v>
                </c:pt>
                <c:pt idx="1">
                  <c:v>2019</c:v>
                </c:pt>
                <c:pt idx="2">
                  <c:v>2020</c:v>
                </c:pt>
                <c:pt idx="3">
                  <c:v>2021</c:v>
                </c:pt>
                <c:pt idx="4">
                  <c:v>2022</c:v>
                </c:pt>
              </c:numCache>
            </c:numRef>
          </c:cat>
          <c:val>
            <c:numRef>
              <c:extLst>
                <c:ext xmlns:c15="http://schemas.microsoft.com/office/drawing/2012/chart" uri="{02D57815-91ED-43cb-92C2-25804820EDAC}">
                  <c15:fullRef>
                    <c15:sqref>'Financial Summary (2017)'!$D$17:$I$17</c15:sqref>
                  </c15:fullRef>
                </c:ext>
              </c:extLst>
              <c:f>'Financial Summary (2017)'!$E$17:$I$17</c:f>
              <c:numCache>
                <c:formatCode>_("$"* #,##0_);_("$"* \(#,##0\);_("$"* "-"_);_(@_)</c:formatCode>
                <c:ptCount val="5"/>
                <c:pt idx="0">
                  <c:v>0</c:v>
                </c:pt>
                <c:pt idx="1">
                  <c:v>0</c:v>
                </c:pt>
                <c:pt idx="2">
                  <c:v>184298.6</c:v>
                </c:pt>
                <c:pt idx="3">
                  <c:v>967567.65</c:v>
                </c:pt>
                <c:pt idx="4">
                  <c:v>0</c:v>
                </c:pt>
              </c:numCache>
            </c:numRef>
          </c:val>
        </c:ser>
        <c:ser>
          <c:idx val="1"/>
          <c:order val="3"/>
          <c:tx>
            <c:strRef>
              <c:f>'Financial Summary (2017)'!$A$8</c:f>
              <c:strCache>
                <c:ptCount val="1"/>
                <c:pt idx="0">
                  <c:v>Life-Safety Repairs</c:v>
                </c:pt>
              </c:strCache>
            </c:strRef>
          </c:tx>
          <c:spPr>
            <a:solidFill>
              <a:srgbClr val="D60093"/>
            </a:solidFill>
            <a:ln>
              <a:noFill/>
            </a:ln>
            <a:effectLst/>
          </c:spPr>
          <c:invertIfNegative val="0"/>
          <c:cat>
            <c:numRef>
              <c:extLst>
                <c:ext xmlns:c15="http://schemas.microsoft.com/office/drawing/2012/chart" uri="{02D57815-91ED-43cb-92C2-25804820EDAC}">
                  <c15:fullRef>
                    <c15:sqref>'Financial Summary (2017)'!$D$2:$I$2</c15:sqref>
                  </c15:fullRef>
                </c:ext>
              </c:extLst>
              <c:f>'Financial Summary (2017)'!$E$2:$I$2</c:f>
              <c:numCache>
                <c:formatCode>General</c:formatCode>
                <c:ptCount val="5"/>
                <c:pt idx="0">
                  <c:v>2018</c:v>
                </c:pt>
                <c:pt idx="1">
                  <c:v>2019</c:v>
                </c:pt>
                <c:pt idx="2">
                  <c:v>2020</c:v>
                </c:pt>
                <c:pt idx="3">
                  <c:v>2021</c:v>
                </c:pt>
                <c:pt idx="4">
                  <c:v>2022</c:v>
                </c:pt>
              </c:numCache>
            </c:numRef>
          </c:cat>
          <c:val>
            <c:numRef>
              <c:extLst>
                <c:ext xmlns:c15="http://schemas.microsoft.com/office/drawing/2012/chart" uri="{02D57815-91ED-43cb-92C2-25804820EDAC}">
                  <c15:fullRef>
                    <c15:sqref>'Financial Summary (2017)'!$D$12:$I$12</c15:sqref>
                  </c15:fullRef>
                </c:ext>
              </c:extLst>
              <c:f>'Financial Summary (2017)'!$E$12:$I$12</c:f>
              <c:numCache>
                <c:formatCode>_("$"* #,##0_);_("$"* \(#,##0\);_("$"* "-"_);_(@_)</c:formatCode>
                <c:ptCount val="5"/>
                <c:pt idx="0">
                  <c:v>0</c:v>
                </c:pt>
                <c:pt idx="1">
                  <c:v>0</c:v>
                </c:pt>
                <c:pt idx="2">
                  <c:v>28006.95</c:v>
                </c:pt>
                <c:pt idx="3">
                  <c:v>588145.94999999995</c:v>
                </c:pt>
                <c:pt idx="4">
                  <c:v>0</c:v>
                </c:pt>
              </c:numCache>
            </c:numRef>
          </c:val>
        </c:ser>
        <c:ser>
          <c:idx val="0"/>
          <c:order val="4"/>
          <c:tx>
            <c:strRef>
              <c:f>'Financial Summary (2017)'!$3:$3</c:f>
              <c:strCache>
                <c:ptCount val="16384"/>
                <c:pt idx="0">
                  <c:v>20 MGD Expansion</c:v>
                </c:pt>
              </c:strCache>
            </c:strRef>
          </c:tx>
          <c:spPr>
            <a:solidFill>
              <a:schemeClr val="accent1"/>
            </a:solidFill>
            <a:ln>
              <a:noFill/>
            </a:ln>
            <a:effectLst/>
          </c:spPr>
          <c:invertIfNegative val="0"/>
          <c:cat>
            <c:numRef>
              <c:extLst>
                <c:ext xmlns:c15="http://schemas.microsoft.com/office/drawing/2012/chart" uri="{02D57815-91ED-43cb-92C2-25804820EDAC}">
                  <c15:fullRef>
                    <c15:sqref>'Financial Summary (2017)'!$D$2:$I$2</c15:sqref>
                  </c15:fullRef>
                </c:ext>
              </c:extLst>
              <c:f>'Financial Summary (2017)'!$E$2:$I$2</c:f>
              <c:numCache>
                <c:formatCode>General</c:formatCode>
                <c:ptCount val="5"/>
                <c:pt idx="0">
                  <c:v>2018</c:v>
                </c:pt>
                <c:pt idx="1">
                  <c:v>2019</c:v>
                </c:pt>
                <c:pt idx="2">
                  <c:v>2020</c:v>
                </c:pt>
                <c:pt idx="3">
                  <c:v>2021</c:v>
                </c:pt>
                <c:pt idx="4">
                  <c:v>2022</c:v>
                </c:pt>
              </c:numCache>
            </c:numRef>
          </c:cat>
          <c:val>
            <c:numRef>
              <c:extLst>
                <c:ext xmlns:c15="http://schemas.microsoft.com/office/drawing/2012/chart" uri="{02D57815-91ED-43cb-92C2-25804820EDAC}">
                  <c15:fullRef>
                    <c15:sqref>'Financial Summary (2017)'!$D$7:$I$7</c15:sqref>
                  </c15:fullRef>
                </c:ext>
              </c:extLst>
              <c:f>'Financial Summary (2017)'!$E$7:$I$7</c:f>
              <c:numCache>
                <c:formatCode>_("$"* #,##0_);_("$"* \(#,##0\);_("$"* "-"_);_(@_)</c:formatCode>
                <c:ptCount val="5"/>
                <c:pt idx="0">
                  <c:v>2304520.1666666665</c:v>
                </c:pt>
                <c:pt idx="1">
                  <c:v>6704058.666666667</c:v>
                </c:pt>
                <c:pt idx="2">
                  <c:v>6704058.666666667</c:v>
                </c:pt>
                <c:pt idx="3">
                  <c:v>0</c:v>
                </c:pt>
                <c:pt idx="4">
                  <c:v>0</c:v>
                </c:pt>
              </c:numCache>
            </c:numRef>
          </c:val>
        </c:ser>
        <c:dLbls>
          <c:showLegendKey val="0"/>
          <c:showVal val="0"/>
          <c:showCatName val="0"/>
          <c:showSerName val="0"/>
          <c:showPercent val="0"/>
          <c:showBubbleSize val="0"/>
        </c:dLbls>
        <c:gapWidth val="150"/>
        <c:overlap val="100"/>
        <c:axId val="404228752"/>
        <c:axId val="404229144"/>
        <c:extLst>
          <c:ext xmlns:c15="http://schemas.microsoft.com/office/drawing/2012/chart" uri="{02D57815-91ED-43cb-92C2-25804820EDAC}">
            <c15:filteredBarSeries>
              <c15:ser>
                <c:idx val="4"/>
                <c:order val="2"/>
                <c:tx>
                  <c:strRef>
                    <c:extLst>
                      <c:ext uri="{02D57815-91ED-43cb-92C2-25804820EDAC}">
                        <c15:formulaRef>
                          <c15:sqref>'Financial Summary (2017)'!$A$18</c15:sqref>
                        </c15:formulaRef>
                      </c:ext>
                    </c:extLst>
                    <c:strCache>
                      <c:ptCount val="1"/>
                      <c:pt idx="0">
                        <c:v>30 MGD Expansion</c:v>
                      </c:pt>
                    </c:strCache>
                  </c:strRef>
                </c:tx>
                <c:spPr>
                  <a:solidFill>
                    <a:srgbClr val="FFC000"/>
                  </a:solidFill>
                  <a:ln>
                    <a:noFill/>
                  </a:ln>
                  <a:effectLst/>
                </c:spPr>
                <c:invertIfNegative val="0"/>
                <c:cat>
                  <c:numRef>
                    <c:extLst>
                      <c:ext uri="{02D57815-91ED-43cb-92C2-25804820EDAC}">
                        <c15:fullRef>
                          <c15:sqref>'Financial Summary (2017)'!$D$2:$I$2</c15:sqref>
                        </c15:fullRef>
                        <c15:formulaRef>
                          <c15:sqref>'Financial Summary (2017)'!$E$2:$I$2</c15:sqref>
                        </c15:formulaRef>
                      </c:ext>
                    </c:extLst>
                    <c:numCache>
                      <c:formatCode>General</c:formatCode>
                      <c:ptCount val="5"/>
                      <c:pt idx="0">
                        <c:v>2018</c:v>
                      </c:pt>
                      <c:pt idx="1">
                        <c:v>2019</c:v>
                      </c:pt>
                      <c:pt idx="2">
                        <c:v>2020</c:v>
                      </c:pt>
                      <c:pt idx="3">
                        <c:v>2021</c:v>
                      </c:pt>
                      <c:pt idx="4">
                        <c:v>2022</c:v>
                      </c:pt>
                    </c:numCache>
                  </c:numRef>
                </c:cat>
                <c:val>
                  <c:numRef>
                    <c:extLst>
                      <c:ext uri="{02D57815-91ED-43cb-92C2-25804820EDAC}">
                        <c15:fullRef>
                          <c15:sqref>'Financial Summary (2017)'!$D$22:$I$22</c15:sqref>
                        </c15:fullRef>
                        <c15:formulaRef>
                          <c15:sqref>'Financial Summary (2017)'!$E$22:$I$22</c15:sqref>
                        </c15:formulaRef>
                      </c:ext>
                    </c:extLst>
                    <c:numCache>
                      <c:formatCode>_("$"* #,##0_);_("$"* \(#,##0\);_("$"* "-"_);_(@_)</c:formatCode>
                      <c:ptCount val="5"/>
                      <c:pt idx="0">
                        <c:v>0</c:v>
                      </c:pt>
                      <c:pt idx="1">
                        <c:v>0</c:v>
                      </c:pt>
                      <c:pt idx="2">
                        <c:v>0</c:v>
                      </c:pt>
                      <c:pt idx="3">
                        <c:v>0</c:v>
                      </c:pt>
                      <c:pt idx="4">
                        <c:v>0</c:v>
                      </c:pt>
                    </c:numCache>
                  </c:numRef>
                </c:val>
              </c15:ser>
            </c15:filteredBarSeries>
          </c:ext>
        </c:extLst>
      </c:barChart>
      <c:catAx>
        <c:axId val="404228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Project</a:t>
                </a:r>
                <a:r>
                  <a:rPr lang="en-US" b="1" baseline="0"/>
                  <a:t> Year</a:t>
                </a:r>
                <a:endParaRPr lang="en-US"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4229144"/>
        <c:crosses val="autoZero"/>
        <c:auto val="1"/>
        <c:lblAlgn val="ctr"/>
        <c:lblOffset val="100"/>
        <c:noMultiLvlLbl val="0"/>
      </c:catAx>
      <c:valAx>
        <c:axId val="4042291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u="none" strike="noStrike" baseline="0">
                    <a:effectLst/>
                  </a:rPr>
                  <a:t>Project Cost (2017)</a:t>
                </a:r>
                <a:endParaRPr lang="en-US"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quot;MM&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42287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baseline="0">
                <a:effectLst/>
              </a:rPr>
              <a:t>WRWTP 2017 MPU - </a:t>
            </a:r>
            <a:endParaRPr lang="en-US"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1400"/>
              <a:t>Total CIP (By Project)</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stacked"/>
        <c:varyColors val="0"/>
        <c:ser>
          <c:idx val="3"/>
          <c:order val="0"/>
          <c:tx>
            <c:strRef>
              <c:f>'Financial Summary (2017)'!$A$23</c:f>
              <c:strCache>
                <c:ptCount val="1"/>
                <c:pt idx="0">
                  <c:v>Repair &amp; Replace</c:v>
                </c:pt>
              </c:strCache>
            </c:strRef>
          </c:tx>
          <c:spPr>
            <a:solidFill>
              <a:schemeClr val="accent4"/>
            </a:solidFill>
            <a:ln>
              <a:noFill/>
            </a:ln>
            <a:effectLst/>
          </c:spPr>
          <c:invertIfNegative val="0"/>
          <c:cat>
            <c:numRef>
              <c:extLst>
                <c:ext xmlns:c15="http://schemas.microsoft.com/office/drawing/2012/chart" uri="{02D57815-91ED-43cb-92C2-25804820EDAC}">
                  <c15:fullRef>
                    <c15:sqref>'Financial Summary (2017)'!$D$2:$W$2</c15:sqref>
                  </c15:fullRef>
                </c:ext>
              </c:extLst>
              <c:f>'Financial Summary (2017)'!$E$2:$W$2</c:f>
              <c:numCache>
                <c:formatCode>General</c:formatCode>
                <c:ptCount val="1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numCache>
            </c:numRef>
          </c:cat>
          <c:val>
            <c:numRef>
              <c:extLst>
                <c:ext xmlns:c15="http://schemas.microsoft.com/office/drawing/2012/chart" uri="{02D57815-91ED-43cb-92C2-25804820EDAC}">
                  <c15:fullRef>
                    <c15:sqref>'Financial Summary (2017)'!$D$27:$W$27</c15:sqref>
                  </c15:fullRef>
                </c:ext>
              </c:extLst>
              <c:f>'Financial Summary (2017)'!$E$27:$W$27</c:f>
              <c:numCache>
                <c:formatCode>_("$"* #,##0_);_("$"* \(#,##0\);_("$"* "-"_);_(@_)</c:formatCode>
                <c:ptCount val="19"/>
                <c:pt idx="0">
                  <c:v>0</c:v>
                </c:pt>
                <c:pt idx="1">
                  <c:v>1491722.1</c:v>
                </c:pt>
                <c:pt idx="2">
                  <c:v>1592020.1</c:v>
                </c:pt>
                <c:pt idx="3">
                  <c:v>12512.5</c:v>
                </c:pt>
                <c:pt idx="4">
                  <c:v>3419893.4</c:v>
                </c:pt>
                <c:pt idx="5">
                  <c:v>12512.5</c:v>
                </c:pt>
                <c:pt idx="6">
                  <c:v>12512.5</c:v>
                </c:pt>
                <c:pt idx="7">
                  <c:v>12512.5</c:v>
                </c:pt>
                <c:pt idx="8">
                  <c:v>12512.5</c:v>
                </c:pt>
                <c:pt idx="9">
                  <c:v>5213450</c:v>
                </c:pt>
                <c:pt idx="10">
                  <c:v>12512.5</c:v>
                </c:pt>
                <c:pt idx="11">
                  <c:v>12512.5</c:v>
                </c:pt>
                <c:pt idx="12">
                  <c:v>12512.5</c:v>
                </c:pt>
                <c:pt idx="13">
                  <c:v>12512.5</c:v>
                </c:pt>
                <c:pt idx="14">
                  <c:v>2476512.5</c:v>
                </c:pt>
                <c:pt idx="15">
                  <c:v>12512.5</c:v>
                </c:pt>
                <c:pt idx="16">
                  <c:v>12512.5</c:v>
                </c:pt>
                <c:pt idx="17">
                  <c:v>12512.5</c:v>
                </c:pt>
                <c:pt idx="18">
                  <c:v>3395297.4</c:v>
                </c:pt>
              </c:numCache>
            </c:numRef>
          </c:val>
        </c:ser>
        <c:ser>
          <c:idx val="4"/>
          <c:order val="1"/>
          <c:tx>
            <c:strRef>
              <c:f>'Financial Summary (2017)'!$A$18</c:f>
              <c:strCache>
                <c:ptCount val="1"/>
                <c:pt idx="0">
                  <c:v>30 MGD Expansion</c:v>
                </c:pt>
              </c:strCache>
            </c:strRef>
          </c:tx>
          <c:spPr>
            <a:solidFill>
              <a:srgbClr val="FFC000"/>
            </a:solidFill>
            <a:ln>
              <a:noFill/>
            </a:ln>
            <a:effectLst/>
          </c:spPr>
          <c:invertIfNegative val="0"/>
          <c:cat>
            <c:numRef>
              <c:extLst>
                <c:ext xmlns:c15="http://schemas.microsoft.com/office/drawing/2012/chart" uri="{02D57815-91ED-43cb-92C2-25804820EDAC}">
                  <c15:fullRef>
                    <c15:sqref>'Financial Summary (2017)'!$D$2:$W$2</c15:sqref>
                  </c15:fullRef>
                </c:ext>
              </c:extLst>
              <c:f>'Financial Summary (2017)'!$E$2:$W$2</c:f>
              <c:numCache>
                <c:formatCode>General</c:formatCode>
                <c:ptCount val="1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numCache>
            </c:numRef>
          </c:cat>
          <c:val>
            <c:numRef>
              <c:extLst>
                <c:ext xmlns:c15="http://schemas.microsoft.com/office/drawing/2012/chart" uri="{02D57815-91ED-43cb-92C2-25804820EDAC}">
                  <c15:fullRef>
                    <c15:sqref>'Financial Summary (2017)'!$D$22:$W$22</c15:sqref>
                  </c15:fullRef>
                </c:ext>
              </c:extLst>
              <c:f>'Financial Summary (2017)'!$E$22:$W$22</c:f>
              <c:numCache>
                <c:formatCode>_("$"* #,##0_);_("$"* \(#,##0\);_("$"* "-"_);_(@_)</c:formatCode>
                <c:ptCount val="19"/>
                <c:pt idx="0">
                  <c:v>0</c:v>
                </c:pt>
                <c:pt idx="1">
                  <c:v>0</c:v>
                </c:pt>
                <c:pt idx="2">
                  <c:v>0</c:v>
                </c:pt>
                <c:pt idx="3">
                  <c:v>0</c:v>
                </c:pt>
                <c:pt idx="4">
                  <c:v>0</c:v>
                </c:pt>
                <c:pt idx="5">
                  <c:v>0</c:v>
                </c:pt>
                <c:pt idx="6">
                  <c:v>0</c:v>
                </c:pt>
                <c:pt idx="7">
                  <c:v>0</c:v>
                </c:pt>
                <c:pt idx="8">
                  <c:v>0</c:v>
                </c:pt>
                <c:pt idx="9">
                  <c:v>0</c:v>
                </c:pt>
                <c:pt idx="10">
                  <c:v>0</c:v>
                </c:pt>
                <c:pt idx="11">
                  <c:v>0</c:v>
                </c:pt>
                <c:pt idx="12">
                  <c:v>5409421.1499999994</c:v>
                </c:pt>
                <c:pt idx="13">
                  <c:v>11076433.783333335</c:v>
                </c:pt>
                <c:pt idx="14">
                  <c:v>11076433.783333335</c:v>
                </c:pt>
                <c:pt idx="15">
                  <c:v>11076433.783333335</c:v>
                </c:pt>
                <c:pt idx="16">
                  <c:v>0</c:v>
                </c:pt>
                <c:pt idx="17">
                  <c:v>0</c:v>
                </c:pt>
                <c:pt idx="18">
                  <c:v>0</c:v>
                </c:pt>
              </c:numCache>
            </c:numRef>
          </c:val>
        </c:ser>
        <c:ser>
          <c:idx val="5"/>
          <c:order val="2"/>
          <c:tx>
            <c:strRef>
              <c:f>'Financial Summary (2017)'!$A$13</c:f>
              <c:strCache>
                <c:ptCount val="1"/>
                <c:pt idx="0">
                  <c:v>Seismic Retrofits</c:v>
                </c:pt>
              </c:strCache>
            </c:strRef>
          </c:tx>
          <c:spPr>
            <a:solidFill>
              <a:srgbClr val="92D050"/>
            </a:solidFill>
            <a:ln>
              <a:noFill/>
            </a:ln>
            <a:effectLst/>
          </c:spPr>
          <c:invertIfNegative val="0"/>
          <c:cat>
            <c:numRef>
              <c:extLst>
                <c:ext xmlns:c15="http://schemas.microsoft.com/office/drawing/2012/chart" uri="{02D57815-91ED-43cb-92C2-25804820EDAC}">
                  <c15:fullRef>
                    <c15:sqref>'Financial Summary (2017)'!$D$2:$W$2</c15:sqref>
                  </c15:fullRef>
                </c:ext>
              </c:extLst>
              <c:f>'Financial Summary (2017)'!$E$2:$W$2</c:f>
              <c:numCache>
                <c:formatCode>General</c:formatCode>
                <c:ptCount val="1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numCache>
            </c:numRef>
          </c:cat>
          <c:val>
            <c:numRef>
              <c:extLst>
                <c:ext xmlns:c15="http://schemas.microsoft.com/office/drawing/2012/chart" uri="{02D57815-91ED-43cb-92C2-25804820EDAC}">
                  <c15:fullRef>
                    <c15:sqref>'Financial Summary (2017)'!$D$17:$W$17</c15:sqref>
                  </c15:fullRef>
                </c:ext>
              </c:extLst>
              <c:f>'Financial Summary (2017)'!$E$17:$W$17</c:f>
              <c:numCache>
                <c:formatCode>_("$"* #,##0_);_("$"* \(#,##0\);_("$"* "-"_);_(@_)</c:formatCode>
                <c:ptCount val="19"/>
                <c:pt idx="0">
                  <c:v>0</c:v>
                </c:pt>
                <c:pt idx="1">
                  <c:v>0</c:v>
                </c:pt>
                <c:pt idx="2">
                  <c:v>184298.6</c:v>
                </c:pt>
                <c:pt idx="3">
                  <c:v>967567.65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er>
        <c:ser>
          <c:idx val="1"/>
          <c:order val="3"/>
          <c:tx>
            <c:strRef>
              <c:f>'Financial Summary (2017)'!$A$8</c:f>
              <c:strCache>
                <c:ptCount val="1"/>
                <c:pt idx="0">
                  <c:v>Life-Safety Repairs</c:v>
                </c:pt>
              </c:strCache>
            </c:strRef>
          </c:tx>
          <c:spPr>
            <a:solidFill>
              <a:srgbClr val="D60093"/>
            </a:solidFill>
            <a:ln>
              <a:noFill/>
            </a:ln>
            <a:effectLst/>
          </c:spPr>
          <c:invertIfNegative val="0"/>
          <c:cat>
            <c:numRef>
              <c:extLst>
                <c:ext xmlns:c15="http://schemas.microsoft.com/office/drawing/2012/chart" uri="{02D57815-91ED-43cb-92C2-25804820EDAC}">
                  <c15:fullRef>
                    <c15:sqref>'Financial Summary (2017)'!$D$2:$W$2</c15:sqref>
                  </c15:fullRef>
                </c:ext>
              </c:extLst>
              <c:f>'Financial Summary (2017)'!$E$2:$W$2</c:f>
              <c:numCache>
                <c:formatCode>General</c:formatCode>
                <c:ptCount val="1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numCache>
            </c:numRef>
          </c:cat>
          <c:val>
            <c:numRef>
              <c:extLst>
                <c:ext xmlns:c15="http://schemas.microsoft.com/office/drawing/2012/chart" uri="{02D57815-91ED-43cb-92C2-25804820EDAC}">
                  <c15:fullRef>
                    <c15:sqref>'Financial Summary (2017)'!$D$12:$W$12</c15:sqref>
                  </c15:fullRef>
                </c:ext>
              </c:extLst>
              <c:f>'Financial Summary (2017)'!$E$12:$W$12</c:f>
              <c:numCache>
                <c:formatCode>_("$"* #,##0_);_("$"* \(#,##0\);_("$"* "-"_);_(@_)</c:formatCode>
                <c:ptCount val="19"/>
                <c:pt idx="0">
                  <c:v>0</c:v>
                </c:pt>
                <c:pt idx="1">
                  <c:v>0</c:v>
                </c:pt>
                <c:pt idx="2">
                  <c:v>28006.95</c:v>
                </c:pt>
                <c:pt idx="3">
                  <c:v>588145.94999999995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er>
        <c:ser>
          <c:idx val="0"/>
          <c:order val="4"/>
          <c:tx>
            <c:strRef>
              <c:f>'Financial Summary (2017)'!$3:$3</c:f>
              <c:strCache>
                <c:ptCount val="16384"/>
                <c:pt idx="0">
                  <c:v>20 MGD Expansion</c:v>
                </c:pt>
              </c:strCache>
            </c:strRef>
          </c:tx>
          <c:spPr>
            <a:solidFill>
              <a:schemeClr val="accent1"/>
            </a:solidFill>
            <a:ln>
              <a:noFill/>
            </a:ln>
            <a:effectLst/>
          </c:spPr>
          <c:invertIfNegative val="0"/>
          <c:cat>
            <c:numRef>
              <c:extLst>
                <c:ext xmlns:c15="http://schemas.microsoft.com/office/drawing/2012/chart" uri="{02D57815-91ED-43cb-92C2-25804820EDAC}">
                  <c15:fullRef>
                    <c15:sqref>'Financial Summary (2017)'!$D$2:$W$2</c15:sqref>
                  </c15:fullRef>
                </c:ext>
              </c:extLst>
              <c:f>'Financial Summary (2017)'!$E$2:$W$2</c:f>
              <c:numCache>
                <c:formatCode>General</c:formatCode>
                <c:ptCount val="1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numCache>
            </c:numRef>
          </c:cat>
          <c:val>
            <c:numRef>
              <c:extLst>
                <c:ext xmlns:c15="http://schemas.microsoft.com/office/drawing/2012/chart" uri="{02D57815-91ED-43cb-92C2-25804820EDAC}">
                  <c15:fullRef>
                    <c15:sqref>'Financial Summary (2017)'!$D$7:$W$7</c15:sqref>
                  </c15:fullRef>
                </c:ext>
              </c:extLst>
              <c:f>'Financial Summary (2017)'!$E$7:$W$7</c:f>
              <c:numCache>
                <c:formatCode>_("$"* #,##0_);_("$"* \(#,##0\);_("$"* "-"_);_(@_)</c:formatCode>
                <c:ptCount val="19"/>
                <c:pt idx="0">
                  <c:v>2304520.1666666665</c:v>
                </c:pt>
                <c:pt idx="1">
                  <c:v>6704058.666666667</c:v>
                </c:pt>
                <c:pt idx="2">
                  <c:v>6704058.666666667</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er>
        <c:dLbls>
          <c:showLegendKey val="0"/>
          <c:showVal val="0"/>
          <c:showCatName val="0"/>
          <c:showSerName val="0"/>
          <c:showPercent val="0"/>
          <c:showBubbleSize val="0"/>
        </c:dLbls>
        <c:gapWidth val="150"/>
        <c:overlap val="100"/>
        <c:axId val="404229928"/>
        <c:axId val="404230320"/>
      </c:barChart>
      <c:catAx>
        <c:axId val="4042299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Project</a:t>
                </a:r>
                <a:r>
                  <a:rPr lang="en-US" b="1" baseline="0"/>
                  <a:t> Year</a:t>
                </a:r>
                <a:endParaRPr lang="en-US"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4230320"/>
        <c:crosses val="autoZero"/>
        <c:auto val="1"/>
        <c:lblAlgn val="ctr"/>
        <c:lblOffset val="100"/>
        <c:noMultiLvlLbl val="0"/>
      </c:catAx>
      <c:valAx>
        <c:axId val="4042303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Project Cost (2017)</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quot;MM&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42299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baseline="0">
                <a:effectLst/>
              </a:rPr>
              <a:t>WRWTP 2017 MPU - </a:t>
            </a:r>
            <a:endParaRPr lang="en-US"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1400"/>
              <a:t>Near Term CIP (By Partner)</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stacked"/>
        <c:varyColors val="0"/>
        <c:ser>
          <c:idx val="1"/>
          <c:order val="0"/>
          <c:tx>
            <c:strRef>
              <c:f>'Financial Summary (2017)'!$B$36</c:f>
              <c:strCache>
                <c:ptCount val="1"/>
                <c:pt idx="0">
                  <c:v>City of Sherwood</c:v>
                </c:pt>
              </c:strCache>
            </c:strRef>
          </c:tx>
          <c:spPr>
            <a:solidFill>
              <a:schemeClr val="accent2"/>
            </a:solidFill>
            <a:ln>
              <a:noFill/>
            </a:ln>
            <a:effectLst/>
          </c:spPr>
          <c:invertIfNegative val="0"/>
          <c:cat>
            <c:numRef>
              <c:extLst>
                <c:ext xmlns:c15="http://schemas.microsoft.com/office/drawing/2012/chart" uri="{02D57815-91ED-43cb-92C2-25804820EDAC}">
                  <c15:fullRef>
                    <c15:sqref>'Financial Summary (2017)'!$D$2:$W$2</c15:sqref>
                  </c15:fullRef>
                </c:ext>
              </c:extLst>
              <c:f>('Financial Summary (2017)'!$E$2:$I$2,'Financial Summary (2017)'!$V$2:$W$2)</c:f>
              <c:numCache>
                <c:formatCode>General</c:formatCode>
                <c:ptCount val="7"/>
                <c:pt idx="0">
                  <c:v>2018</c:v>
                </c:pt>
                <c:pt idx="1">
                  <c:v>2019</c:v>
                </c:pt>
                <c:pt idx="2">
                  <c:v>2020</c:v>
                </c:pt>
                <c:pt idx="3">
                  <c:v>2021</c:v>
                </c:pt>
                <c:pt idx="4">
                  <c:v>2022</c:v>
                </c:pt>
                <c:pt idx="5">
                  <c:v>2035</c:v>
                </c:pt>
                <c:pt idx="6">
                  <c:v>2036</c:v>
                </c:pt>
              </c:numCache>
            </c:numRef>
          </c:cat>
          <c:val>
            <c:numRef>
              <c:extLst>
                <c:ext xmlns:c15="http://schemas.microsoft.com/office/drawing/2012/chart" uri="{02D57815-91ED-43cb-92C2-25804820EDAC}">
                  <c15:fullRef>
                    <c15:sqref>'Financial Summary (2017)'!$D$36:$W$36</c15:sqref>
                  </c15:fullRef>
                </c:ext>
              </c:extLst>
              <c:f>('Financial Summary (2017)'!$E$36:$I$36,'Financial Summary (2017)'!$V$36:$W$36)</c:f>
              <c:numCache>
                <c:formatCode>_("$"* #,##0_);_("$"* \(#,##0\);_("$"* "-"??_);_(@_)</c:formatCode>
                <c:ptCount val="7"/>
                <c:pt idx="0">
                  <c:v>767405.21549999982</c:v>
                </c:pt>
                <c:pt idx="1">
                  <c:v>2729194.9952999996</c:v>
                </c:pt>
                <c:pt idx="2">
                  <c:v>2833291.9774499997</c:v>
                </c:pt>
                <c:pt idx="3">
                  <c:v>522219.29129999992</c:v>
                </c:pt>
                <c:pt idx="4">
                  <c:v>1138824.5021999998</c:v>
                </c:pt>
                <c:pt idx="5">
                  <c:v>4166.6624999999995</c:v>
                </c:pt>
                <c:pt idx="6">
                  <c:v>1130634.0341999999</c:v>
                </c:pt>
              </c:numCache>
            </c:numRef>
          </c:val>
        </c:ser>
        <c:ser>
          <c:idx val="0"/>
          <c:order val="1"/>
          <c:tx>
            <c:strRef>
              <c:f>'Financial Summary (2017)'!$B$30</c:f>
              <c:strCache>
                <c:ptCount val="1"/>
                <c:pt idx="0">
                  <c:v>City of Wilsonville</c:v>
                </c:pt>
              </c:strCache>
            </c:strRef>
          </c:tx>
          <c:spPr>
            <a:solidFill>
              <a:schemeClr val="accent1"/>
            </a:solidFill>
            <a:ln>
              <a:noFill/>
            </a:ln>
            <a:effectLst/>
          </c:spPr>
          <c:invertIfNegative val="0"/>
          <c:cat>
            <c:numRef>
              <c:extLst>
                <c:ext xmlns:c15="http://schemas.microsoft.com/office/drawing/2012/chart" uri="{02D57815-91ED-43cb-92C2-25804820EDAC}">
                  <c15:fullRef>
                    <c15:sqref>'Financial Summary (2017)'!$D$2:$W$2</c15:sqref>
                  </c15:fullRef>
                </c:ext>
              </c:extLst>
              <c:f>('Financial Summary (2017)'!$E$2:$I$2,'Financial Summary (2017)'!$V$2:$W$2)</c:f>
              <c:numCache>
                <c:formatCode>General</c:formatCode>
                <c:ptCount val="7"/>
                <c:pt idx="0">
                  <c:v>2018</c:v>
                </c:pt>
                <c:pt idx="1">
                  <c:v>2019</c:v>
                </c:pt>
                <c:pt idx="2">
                  <c:v>2020</c:v>
                </c:pt>
                <c:pt idx="3">
                  <c:v>2021</c:v>
                </c:pt>
                <c:pt idx="4">
                  <c:v>2022</c:v>
                </c:pt>
                <c:pt idx="5">
                  <c:v>2035</c:v>
                </c:pt>
                <c:pt idx="6">
                  <c:v>2036</c:v>
                </c:pt>
              </c:numCache>
            </c:numRef>
          </c:cat>
          <c:val>
            <c:numRef>
              <c:extLst>
                <c:ext xmlns:c15="http://schemas.microsoft.com/office/drawing/2012/chart" uri="{02D57815-91ED-43cb-92C2-25804820EDAC}">
                  <c15:fullRef>
                    <c15:sqref>'Financial Summary (2017)'!$D$30:$W$30</c15:sqref>
                  </c15:fullRef>
                </c:ext>
              </c:extLst>
              <c:f>('Financial Summary (2017)'!$E$30:$I$30,'Financial Summary (2017)'!$V$30:$W$30)</c:f>
              <c:numCache>
                <c:formatCode>_("$"* #,##0_);_("$"* \(#,##0\);_("$"* "-"??_);_(@_)</c:formatCode>
                <c:ptCount val="7"/>
                <c:pt idx="0">
                  <c:v>1537114.9511666666</c:v>
                </c:pt>
                <c:pt idx="1">
                  <c:v>5466585.771366667</c:v>
                </c:pt>
                <c:pt idx="2">
                  <c:v>5675092.3392166663</c:v>
                </c:pt>
                <c:pt idx="3">
                  <c:v>1046006.8087000001</c:v>
                </c:pt>
                <c:pt idx="4">
                  <c:v>2281068.8977999999</c:v>
                </c:pt>
                <c:pt idx="5">
                  <c:v>8345.8374999999996</c:v>
                </c:pt>
                <c:pt idx="6">
                  <c:v>2264663.3658000003</c:v>
                </c:pt>
              </c:numCache>
            </c:numRef>
          </c:val>
        </c:ser>
        <c:dLbls>
          <c:showLegendKey val="0"/>
          <c:showVal val="0"/>
          <c:showCatName val="0"/>
          <c:showSerName val="0"/>
          <c:showPercent val="0"/>
          <c:showBubbleSize val="0"/>
        </c:dLbls>
        <c:gapWidth val="150"/>
        <c:overlap val="100"/>
        <c:axId val="410639320"/>
        <c:axId val="410639712"/>
      </c:barChart>
      <c:catAx>
        <c:axId val="4106393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Project</a:t>
                </a:r>
                <a:r>
                  <a:rPr lang="en-US" b="1" baseline="0"/>
                  <a:t> Year</a:t>
                </a:r>
                <a:endParaRPr lang="en-US"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0639712"/>
        <c:crosses val="autoZero"/>
        <c:auto val="1"/>
        <c:lblAlgn val="ctr"/>
        <c:lblOffset val="100"/>
        <c:noMultiLvlLbl val="0"/>
      </c:catAx>
      <c:valAx>
        <c:axId val="410639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u="none" strike="noStrike" baseline="0">
                    <a:effectLst/>
                  </a:rPr>
                  <a:t>Project Cost (2017)</a:t>
                </a:r>
                <a:endParaRPr lang="en-US"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quot;MM&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06393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baseline="0">
                <a:effectLst/>
              </a:rPr>
              <a:t>WRWTP 2017 MPU - </a:t>
            </a:r>
            <a:endParaRPr lang="en-US"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1400"/>
              <a:t>Total</a:t>
            </a:r>
            <a:r>
              <a:rPr lang="en-US" sz="1400" baseline="0"/>
              <a:t> CIP (By Partner)</a:t>
            </a:r>
            <a:endParaRPr lang="en-US" sz="14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stacked"/>
        <c:varyColors val="0"/>
        <c:ser>
          <c:idx val="1"/>
          <c:order val="0"/>
          <c:tx>
            <c:strRef>
              <c:f>'Financial Summary (2017)'!$B$36</c:f>
              <c:strCache>
                <c:ptCount val="1"/>
                <c:pt idx="0">
                  <c:v>City of Sherwood</c:v>
                </c:pt>
              </c:strCache>
            </c:strRef>
          </c:tx>
          <c:spPr>
            <a:solidFill>
              <a:schemeClr val="accent2"/>
            </a:solidFill>
            <a:ln>
              <a:noFill/>
            </a:ln>
            <a:effectLst/>
          </c:spPr>
          <c:invertIfNegative val="0"/>
          <c:cat>
            <c:numRef>
              <c:extLst>
                <c:ext xmlns:c15="http://schemas.microsoft.com/office/drawing/2012/chart" uri="{02D57815-91ED-43cb-92C2-25804820EDAC}">
                  <c15:fullRef>
                    <c15:sqref>'Financial Summary (2017)'!$D$2:$W$2</c15:sqref>
                  </c15:fullRef>
                </c:ext>
              </c:extLst>
              <c:f>'Financial Summary (2017)'!$E$2:$W$2</c:f>
              <c:numCache>
                <c:formatCode>General</c:formatCode>
                <c:ptCount val="1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numCache>
            </c:numRef>
          </c:cat>
          <c:val>
            <c:numRef>
              <c:extLst>
                <c:ext xmlns:c15="http://schemas.microsoft.com/office/drawing/2012/chart" uri="{02D57815-91ED-43cb-92C2-25804820EDAC}">
                  <c15:fullRef>
                    <c15:sqref>'Financial Summary (2017)'!$D$36:$W$36</c15:sqref>
                  </c15:fullRef>
                </c:ext>
              </c:extLst>
              <c:f>'Financial Summary (2017)'!$E$36:$W$36</c:f>
              <c:numCache>
                <c:formatCode>_("$"* #,##0_);_("$"* \(#,##0\);_("$"* "-"??_);_(@_)</c:formatCode>
                <c:ptCount val="19"/>
                <c:pt idx="0">
                  <c:v>767405.21549999982</c:v>
                </c:pt>
                <c:pt idx="1">
                  <c:v>2729194.9952999996</c:v>
                </c:pt>
                <c:pt idx="2">
                  <c:v>2833291.9774499997</c:v>
                </c:pt>
                <c:pt idx="3">
                  <c:v>522219.29129999992</c:v>
                </c:pt>
                <c:pt idx="4">
                  <c:v>1138824.5021999998</c:v>
                </c:pt>
                <c:pt idx="5">
                  <c:v>4166.6624999999995</c:v>
                </c:pt>
                <c:pt idx="6">
                  <c:v>4166.6624999999995</c:v>
                </c:pt>
                <c:pt idx="7">
                  <c:v>4166.6624999999995</c:v>
                </c:pt>
                <c:pt idx="8">
                  <c:v>4166.6624999999995</c:v>
                </c:pt>
                <c:pt idx="9">
                  <c:v>1736078.8499999999</c:v>
                </c:pt>
                <c:pt idx="10">
                  <c:v>4166.6624999999995</c:v>
                </c:pt>
                <c:pt idx="11">
                  <c:v>4166.6624999999995</c:v>
                </c:pt>
                <c:pt idx="12">
                  <c:v>1751409.6939499998</c:v>
                </c:pt>
                <c:pt idx="13">
                  <c:v>3581854.7745166668</c:v>
                </c:pt>
                <c:pt idx="14">
                  <c:v>4402366.7745166663</c:v>
                </c:pt>
                <c:pt idx="15">
                  <c:v>3581854.7745166668</c:v>
                </c:pt>
                <c:pt idx="16">
                  <c:v>4166.6624999999995</c:v>
                </c:pt>
                <c:pt idx="17">
                  <c:v>4166.6624999999995</c:v>
                </c:pt>
                <c:pt idx="18">
                  <c:v>1130634.0341999999</c:v>
                </c:pt>
              </c:numCache>
            </c:numRef>
          </c:val>
        </c:ser>
        <c:ser>
          <c:idx val="0"/>
          <c:order val="1"/>
          <c:tx>
            <c:strRef>
              <c:f>'Financial Summary (2017)'!$B$30</c:f>
              <c:strCache>
                <c:ptCount val="1"/>
                <c:pt idx="0">
                  <c:v>City of Wilsonville</c:v>
                </c:pt>
              </c:strCache>
            </c:strRef>
          </c:tx>
          <c:spPr>
            <a:solidFill>
              <a:schemeClr val="accent1"/>
            </a:solidFill>
            <a:ln>
              <a:noFill/>
            </a:ln>
            <a:effectLst/>
          </c:spPr>
          <c:invertIfNegative val="0"/>
          <c:cat>
            <c:numRef>
              <c:extLst>
                <c:ext xmlns:c15="http://schemas.microsoft.com/office/drawing/2012/chart" uri="{02D57815-91ED-43cb-92C2-25804820EDAC}">
                  <c15:fullRef>
                    <c15:sqref>'Financial Summary (2017)'!$D$2:$W$2</c15:sqref>
                  </c15:fullRef>
                </c:ext>
              </c:extLst>
              <c:f>'Financial Summary (2017)'!$E$2:$W$2</c:f>
              <c:numCache>
                <c:formatCode>General</c:formatCode>
                <c:ptCount val="1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numCache>
            </c:numRef>
          </c:cat>
          <c:val>
            <c:numRef>
              <c:extLst>
                <c:ext xmlns:c15="http://schemas.microsoft.com/office/drawing/2012/chart" uri="{02D57815-91ED-43cb-92C2-25804820EDAC}">
                  <c15:fullRef>
                    <c15:sqref>'Financial Summary (2017)'!$D$30:$W$30</c15:sqref>
                  </c15:fullRef>
                </c:ext>
              </c:extLst>
              <c:f>'Financial Summary (2017)'!$E$30:$W$30</c:f>
              <c:numCache>
                <c:formatCode>_("$"* #,##0_);_("$"* \(#,##0\);_("$"* "-"??_);_(@_)</c:formatCode>
                <c:ptCount val="19"/>
                <c:pt idx="0">
                  <c:v>1537114.9511666666</c:v>
                </c:pt>
                <c:pt idx="1">
                  <c:v>5466585.771366667</c:v>
                </c:pt>
                <c:pt idx="2">
                  <c:v>5675092.3392166663</c:v>
                </c:pt>
                <c:pt idx="3">
                  <c:v>1046006.8087000001</c:v>
                </c:pt>
                <c:pt idx="4">
                  <c:v>2281068.8977999999</c:v>
                </c:pt>
                <c:pt idx="5">
                  <c:v>8345.8374999999996</c:v>
                </c:pt>
                <c:pt idx="6">
                  <c:v>8345.8374999999996</c:v>
                </c:pt>
                <c:pt idx="7">
                  <c:v>8345.8374999999996</c:v>
                </c:pt>
                <c:pt idx="8">
                  <c:v>8345.8374999999996</c:v>
                </c:pt>
                <c:pt idx="9">
                  <c:v>3477371.1500000004</c:v>
                </c:pt>
                <c:pt idx="10">
                  <c:v>8345.8374999999996</c:v>
                </c:pt>
                <c:pt idx="11">
                  <c:v>8345.8374999999996</c:v>
                </c:pt>
                <c:pt idx="12">
                  <c:v>3670523.9560499997</c:v>
                </c:pt>
                <c:pt idx="13">
                  <c:v>7507091.5088166688</c:v>
                </c:pt>
                <c:pt idx="14">
                  <c:v>9150579.5088166688</c:v>
                </c:pt>
                <c:pt idx="15">
                  <c:v>7507091.5088166688</c:v>
                </c:pt>
                <c:pt idx="16">
                  <c:v>8345.8374999999996</c:v>
                </c:pt>
                <c:pt idx="17">
                  <c:v>8345.8374999999996</c:v>
                </c:pt>
                <c:pt idx="18">
                  <c:v>2264663.3658000003</c:v>
                </c:pt>
              </c:numCache>
            </c:numRef>
          </c:val>
        </c:ser>
        <c:dLbls>
          <c:showLegendKey val="0"/>
          <c:showVal val="0"/>
          <c:showCatName val="0"/>
          <c:showSerName val="0"/>
          <c:showPercent val="0"/>
          <c:showBubbleSize val="0"/>
        </c:dLbls>
        <c:gapWidth val="150"/>
        <c:overlap val="100"/>
        <c:axId val="410640496"/>
        <c:axId val="410640888"/>
      </c:barChart>
      <c:catAx>
        <c:axId val="4106404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Project</a:t>
                </a:r>
                <a:r>
                  <a:rPr lang="en-US" b="1" baseline="0"/>
                  <a:t> Year</a:t>
                </a:r>
                <a:endParaRPr lang="en-US"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0640888"/>
        <c:crosses val="autoZero"/>
        <c:auto val="1"/>
        <c:lblAlgn val="ctr"/>
        <c:lblOffset val="100"/>
        <c:noMultiLvlLbl val="0"/>
      </c:catAx>
      <c:valAx>
        <c:axId val="4106408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u="none" strike="noStrike" baseline="0">
                    <a:effectLst/>
                  </a:rPr>
                  <a:t>Project Cost (2017)</a:t>
                </a:r>
                <a:endParaRPr lang="en-US"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quot;MM&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06404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baseline="0">
                <a:effectLst/>
              </a:rPr>
              <a:t>WRWTP 2017 MPU - </a:t>
            </a:r>
            <a:endParaRPr lang="en-US"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1400"/>
              <a:t>Near Term</a:t>
            </a:r>
            <a:r>
              <a:rPr lang="en-US" sz="1400" baseline="0"/>
              <a:t> CIP (City of Wilsonville)</a:t>
            </a:r>
            <a:endParaRPr lang="en-US" sz="14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stacked"/>
        <c:varyColors val="0"/>
        <c:ser>
          <c:idx val="3"/>
          <c:order val="0"/>
          <c:tx>
            <c:strRef>
              <c:f>'Financial Summary (2017)'!$B$35</c:f>
              <c:strCache>
                <c:ptCount val="1"/>
                <c:pt idx="0">
                  <c:v>Repair &amp; Replace</c:v>
                </c:pt>
              </c:strCache>
            </c:strRef>
          </c:tx>
          <c:spPr>
            <a:solidFill>
              <a:schemeClr val="accent4"/>
            </a:solidFill>
            <a:ln>
              <a:noFill/>
            </a:ln>
            <a:effectLst/>
          </c:spPr>
          <c:invertIfNegative val="0"/>
          <c:cat>
            <c:numRef>
              <c:extLst>
                <c:ext xmlns:c15="http://schemas.microsoft.com/office/drawing/2012/chart" uri="{02D57815-91ED-43cb-92C2-25804820EDAC}">
                  <c15:fullRef>
                    <c15:sqref>'Financial Summary (2017)'!$D$2:$I$2</c15:sqref>
                  </c15:fullRef>
                </c:ext>
              </c:extLst>
              <c:f>'Financial Summary (2017)'!$E$2:$I$2</c:f>
              <c:numCache>
                <c:formatCode>General</c:formatCode>
                <c:ptCount val="5"/>
                <c:pt idx="0">
                  <c:v>2018</c:v>
                </c:pt>
                <c:pt idx="1">
                  <c:v>2019</c:v>
                </c:pt>
                <c:pt idx="2">
                  <c:v>2020</c:v>
                </c:pt>
                <c:pt idx="3">
                  <c:v>2021</c:v>
                </c:pt>
                <c:pt idx="4">
                  <c:v>2022</c:v>
                </c:pt>
              </c:numCache>
            </c:numRef>
          </c:cat>
          <c:val>
            <c:numRef>
              <c:extLst>
                <c:ext xmlns:c15="http://schemas.microsoft.com/office/drawing/2012/chart" uri="{02D57815-91ED-43cb-92C2-25804820EDAC}">
                  <c15:fullRef>
                    <c15:sqref>'Financial Summary (2017)'!$D$35:$I$35</c15:sqref>
                  </c15:fullRef>
                </c:ext>
              </c:extLst>
              <c:f>'Financial Summary (2017)'!$E$35:$I$35</c:f>
              <c:numCache>
                <c:formatCode>_("$"* #,##0_);_("$"* \(#,##0\);_("$"* "-"??_);_(@_)</c:formatCode>
                <c:ptCount val="5"/>
                <c:pt idx="0">
                  <c:v>0</c:v>
                </c:pt>
                <c:pt idx="1">
                  <c:v>994978.64070000011</c:v>
                </c:pt>
                <c:pt idx="2">
                  <c:v>1061877.4067000002</c:v>
                </c:pt>
                <c:pt idx="3">
                  <c:v>8345.8374999999996</c:v>
                </c:pt>
                <c:pt idx="4">
                  <c:v>2281068.8977999999</c:v>
                </c:pt>
              </c:numCache>
            </c:numRef>
          </c:val>
        </c:ser>
        <c:ser>
          <c:idx val="4"/>
          <c:order val="2"/>
          <c:tx>
            <c:strRef>
              <c:f>'Financial Summary (2017)'!$B$33</c:f>
              <c:strCache>
                <c:ptCount val="1"/>
                <c:pt idx="0">
                  <c:v>Seismic Retrofits</c:v>
                </c:pt>
              </c:strCache>
            </c:strRef>
          </c:tx>
          <c:spPr>
            <a:solidFill>
              <a:srgbClr val="92D050"/>
            </a:solidFill>
            <a:ln>
              <a:noFill/>
            </a:ln>
            <a:effectLst/>
          </c:spPr>
          <c:invertIfNegative val="0"/>
          <c:cat>
            <c:numRef>
              <c:extLst>
                <c:ext xmlns:c15="http://schemas.microsoft.com/office/drawing/2012/chart" uri="{02D57815-91ED-43cb-92C2-25804820EDAC}">
                  <c15:fullRef>
                    <c15:sqref>'Financial Summary (2017)'!$D$2:$I$2</c15:sqref>
                  </c15:fullRef>
                </c:ext>
              </c:extLst>
              <c:f>'Financial Summary (2017)'!$E$2:$I$2</c:f>
              <c:numCache>
                <c:formatCode>General</c:formatCode>
                <c:ptCount val="5"/>
                <c:pt idx="0">
                  <c:v>2018</c:v>
                </c:pt>
                <c:pt idx="1">
                  <c:v>2019</c:v>
                </c:pt>
                <c:pt idx="2">
                  <c:v>2020</c:v>
                </c:pt>
                <c:pt idx="3">
                  <c:v>2021</c:v>
                </c:pt>
                <c:pt idx="4">
                  <c:v>2022</c:v>
                </c:pt>
              </c:numCache>
            </c:numRef>
          </c:cat>
          <c:val>
            <c:numRef>
              <c:extLst>
                <c:ext xmlns:c15="http://schemas.microsoft.com/office/drawing/2012/chart" uri="{02D57815-91ED-43cb-92C2-25804820EDAC}">
                  <c15:fullRef>
                    <c15:sqref>'Financial Summary (2017)'!$D$33:$I$33</c15:sqref>
                  </c15:fullRef>
                </c:ext>
              </c:extLst>
              <c:f>'Financial Summary (2017)'!$E$33:$I$33</c:f>
              <c:numCache>
                <c:formatCode>_("$"* #,##0_);_("$"* \(#,##0\);_("$"* "-"??_);_(@_)</c:formatCode>
                <c:ptCount val="5"/>
                <c:pt idx="0">
                  <c:v>0</c:v>
                </c:pt>
                <c:pt idx="1">
                  <c:v>0</c:v>
                </c:pt>
                <c:pt idx="2">
                  <c:v>122927.16620000001</c:v>
                </c:pt>
                <c:pt idx="3">
                  <c:v>645367.62255000009</c:v>
                </c:pt>
                <c:pt idx="4">
                  <c:v>0</c:v>
                </c:pt>
              </c:numCache>
            </c:numRef>
          </c:val>
        </c:ser>
        <c:ser>
          <c:idx val="1"/>
          <c:order val="3"/>
          <c:tx>
            <c:strRef>
              <c:f>'Financial Summary (2017)'!$B$32</c:f>
              <c:strCache>
                <c:ptCount val="1"/>
                <c:pt idx="0">
                  <c:v>Life Safety Repairs</c:v>
                </c:pt>
              </c:strCache>
            </c:strRef>
          </c:tx>
          <c:spPr>
            <a:solidFill>
              <a:srgbClr val="D60093"/>
            </a:solidFill>
            <a:ln>
              <a:noFill/>
            </a:ln>
            <a:effectLst/>
          </c:spPr>
          <c:invertIfNegative val="0"/>
          <c:cat>
            <c:numRef>
              <c:extLst>
                <c:ext xmlns:c15="http://schemas.microsoft.com/office/drawing/2012/chart" uri="{02D57815-91ED-43cb-92C2-25804820EDAC}">
                  <c15:fullRef>
                    <c15:sqref>'Financial Summary (2017)'!$D$2:$I$2</c15:sqref>
                  </c15:fullRef>
                </c:ext>
              </c:extLst>
              <c:f>'Financial Summary (2017)'!$E$2:$I$2</c:f>
              <c:numCache>
                <c:formatCode>General</c:formatCode>
                <c:ptCount val="5"/>
                <c:pt idx="0">
                  <c:v>2018</c:v>
                </c:pt>
                <c:pt idx="1">
                  <c:v>2019</c:v>
                </c:pt>
                <c:pt idx="2">
                  <c:v>2020</c:v>
                </c:pt>
                <c:pt idx="3">
                  <c:v>2021</c:v>
                </c:pt>
                <c:pt idx="4">
                  <c:v>2022</c:v>
                </c:pt>
              </c:numCache>
            </c:numRef>
          </c:cat>
          <c:val>
            <c:numRef>
              <c:extLst>
                <c:ext xmlns:c15="http://schemas.microsoft.com/office/drawing/2012/chart" uri="{02D57815-91ED-43cb-92C2-25804820EDAC}">
                  <c15:fullRef>
                    <c15:sqref>'Financial Summary (2017)'!$D$32:$I$32</c15:sqref>
                  </c15:fullRef>
                </c:ext>
              </c:extLst>
              <c:f>'Financial Summary (2017)'!$E$32:$I$32</c:f>
              <c:numCache>
                <c:formatCode>_("$"* #,##0_);_("$"* \(#,##0\);_("$"* "-"??_);_(@_)</c:formatCode>
                <c:ptCount val="5"/>
                <c:pt idx="0">
                  <c:v>0</c:v>
                </c:pt>
                <c:pt idx="1">
                  <c:v>0</c:v>
                </c:pt>
                <c:pt idx="2">
                  <c:v>18680.63565</c:v>
                </c:pt>
                <c:pt idx="3">
                  <c:v>392293.34865</c:v>
                </c:pt>
                <c:pt idx="4">
                  <c:v>0</c:v>
                </c:pt>
              </c:numCache>
            </c:numRef>
          </c:val>
        </c:ser>
        <c:ser>
          <c:idx val="0"/>
          <c:order val="4"/>
          <c:tx>
            <c:strRef>
              <c:f>'Financial Summary (2017)'!$B$31</c:f>
              <c:strCache>
                <c:ptCount val="1"/>
                <c:pt idx="0">
                  <c:v>20 MGD Expansion</c:v>
                </c:pt>
              </c:strCache>
            </c:strRef>
          </c:tx>
          <c:spPr>
            <a:solidFill>
              <a:schemeClr val="accent1"/>
            </a:solidFill>
            <a:ln>
              <a:noFill/>
            </a:ln>
            <a:effectLst/>
          </c:spPr>
          <c:invertIfNegative val="0"/>
          <c:cat>
            <c:numRef>
              <c:extLst>
                <c:ext xmlns:c15="http://schemas.microsoft.com/office/drawing/2012/chart" uri="{02D57815-91ED-43cb-92C2-25804820EDAC}">
                  <c15:fullRef>
                    <c15:sqref>'Financial Summary (2017)'!$D$2:$I$2</c15:sqref>
                  </c15:fullRef>
                </c:ext>
              </c:extLst>
              <c:f>'Financial Summary (2017)'!$E$2:$I$2</c:f>
              <c:numCache>
                <c:formatCode>General</c:formatCode>
                <c:ptCount val="5"/>
                <c:pt idx="0">
                  <c:v>2018</c:v>
                </c:pt>
                <c:pt idx="1">
                  <c:v>2019</c:v>
                </c:pt>
                <c:pt idx="2">
                  <c:v>2020</c:v>
                </c:pt>
                <c:pt idx="3">
                  <c:v>2021</c:v>
                </c:pt>
                <c:pt idx="4">
                  <c:v>2022</c:v>
                </c:pt>
              </c:numCache>
            </c:numRef>
          </c:cat>
          <c:val>
            <c:numRef>
              <c:extLst>
                <c:ext xmlns:c15="http://schemas.microsoft.com/office/drawing/2012/chart" uri="{02D57815-91ED-43cb-92C2-25804820EDAC}">
                  <c15:fullRef>
                    <c15:sqref>'Financial Summary (2017)'!$D$31:$I$31</c15:sqref>
                  </c15:fullRef>
                </c:ext>
              </c:extLst>
              <c:f>'Financial Summary (2017)'!$E$31:$I$31</c:f>
              <c:numCache>
                <c:formatCode>_("$"* #,##0_);_("$"* \(#,##0\);_("$"* "-"??_);_(@_)</c:formatCode>
                <c:ptCount val="5"/>
                <c:pt idx="0">
                  <c:v>1537114.9511666666</c:v>
                </c:pt>
                <c:pt idx="1">
                  <c:v>4471607.1306666667</c:v>
                </c:pt>
                <c:pt idx="2">
                  <c:v>4471607.1306666667</c:v>
                </c:pt>
                <c:pt idx="3">
                  <c:v>0</c:v>
                </c:pt>
                <c:pt idx="4">
                  <c:v>0</c:v>
                </c:pt>
              </c:numCache>
            </c:numRef>
          </c:val>
        </c:ser>
        <c:dLbls>
          <c:showLegendKey val="0"/>
          <c:showVal val="0"/>
          <c:showCatName val="0"/>
          <c:showSerName val="0"/>
          <c:showPercent val="0"/>
          <c:showBubbleSize val="0"/>
        </c:dLbls>
        <c:gapWidth val="150"/>
        <c:overlap val="100"/>
        <c:axId val="410642064"/>
        <c:axId val="410642456"/>
        <c:extLst>
          <c:ext xmlns:c15="http://schemas.microsoft.com/office/drawing/2012/chart" uri="{02D57815-91ED-43cb-92C2-25804820EDAC}">
            <c15:filteredBarSeries>
              <c15:ser>
                <c:idx val="5"/>
                <c:order val="1"/>
                <c:tx>
                  <c:strRef>
                    <c:extLst>
                      <c:ext uri="{02D57815-91ED-43cb-92C2-25804820EDAC}">
                        <c15:formulaRef>
                          <c15:sqref>'Financial Summary (2017)'!$B$34</c15:sqref>
                        </c15:formulaRef>
                      </c:ext>
                    </c:extLst>
                    <c:strCache>
                      <c:ptCount val="1"/>
                      <c:pt idx="0">
                        <c:v>30 MGD Expansion</c:v>
                      </c:pt>
                    </c:strCache>
                  </c:strRef>
                </c:tx>
                <c:spPr>
                  <a:solidFill>
                    <a:schemeClr val="accent6"/>
                  </a:solidFill>
                  <a:ln>
                    <a:noFill/>
                  </a:ln>
                  <a:effectLst/>
                </c:spPr>
                <c:invertIfNegative val="0"/>
                <c:cat>
                  <c:numRef>
                    <c:extLst>
                      <c:ext uri="{02D57815-91ED-43cb-92C2-25804820EDAC}">
                        <c15:fullRef>
                          <c15:sqref>'Financial Summary (2017)'!$D$2:$I$2</c15:sqref>
                        </c15:fullRef>
                        <c15:formulaRef>
                          <c15:sqref>'Financial Summary (2017)'!$E$2:$I$2</c15:sqref>
                        </c15:formulaRef>
                      </c:ext>
                    </c:extLst>
                    <c:numCache>
                      <c:formatCode>General</c:formatCode>
                      <c:ptCount val="5"/>
                      <c:pt idx="0">
                        <c:v>2018</c:v>
                      </c:pt>
                      <c:pt idx="1">
                        <c:v>2019</c:v>
                      </c:pt>
                      <c:pt idx="2">
                        <c:v>2020</c:v>
                      </c:pt>
                      <c:pt idx="3">
                        <c:v>2021</c:v>
                      </c:pt>
                      <c:pt idx="4">
                        <c:v>2022</c:v>
                      </c:pt>
                    </c:numCache>
                  </c:numRef>
                </c:cat>
                <c:val>
                  <c:numRef>
                    <c:extLst>
                      <c:ext uri="{02D57815-91ED-43cb-92C2-25804820EDAC}">
                        <c15:fullRef>
                          <c15:sqref>'Financial Summary (2017)'!$D$34:$I$34</c15:sqref>
                        </c15:fullRef>
                        <c15:formulaRef>
                          <c15:sqref>'Financial Summary (2017)'!$E$34:$I$34</c15:sqref>
                        </c15:formulaRef>
                      </c:ext>
                    </c:extLst>
                    <c:numCache>
                      <c:formatCode>_("$"* #,##0_);_("$"* \(#,##0\);_("$"* "-"??_);_(@_)</c:formatCode>
                      <c:ptCount val="5"/>
                      <c:pt idx="0">
                        <c:v>0</c:v>
                      </c:pt>
                      <c:pt idx="1">
                        <c:v>0</c:v>
                      </c:pt>
                      <c:pt idx="2">
                        <c:v>0</c:v>
                      </c:pt>
                      <c:pt idx="3">
                        <c:v>0</c:v>
                      </c:pt>
                      <c:pt idx="4">
                        <c:v>0</c:v>
                      </c:pt>
                    </c:numCache>
                  </c:numRef>
                </c:val>
              </c15:ser>
            </c15:filteredBarSeries>
          </c:ext>
        </c:extLst>
      </c:barChart>
      <c:catAx>
        <c:axId val="4106420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Project</a:t>
                </a:r>
                <a:r>
                  <a:rPr lang="en-US" b="1" baseline="0"/>
                  <a:t> Year</a:t>
                </a:r>
                <a:endParaRPr lang="en-US"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0642456"/>
        <c:crosses val="autoZero"/>
        <c:auto val="1"/>
        <c:lblAlgn val="ctr"/>
        <c:lblOffset val="100"/>
        <c:noMultiLvlLbl val="0"/>
      </c:catAx>
      <c:valAx>
        <c:axId val="4106424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u="none" strike="noStrike" baseline="0">
                    <a:effectLst/>
                  </a:rPr>
                  <a:t>Project Cost (2017)</a:t>
                </a:r>
                <a:endParaRPr lang="en-US"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quot;MM&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06420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baseline="0">
                <a:effectLst/>
              </a:rPr>
              <a:t>WRWTP 2017 MPU - </a:t>
            </a:r>
            <a:endParaRPr lang="en-US"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1400"/>
              <a:t>Total CIP (City of Wilsonville)</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stacked"/>
        <c:varyColors val="0"/>
        <c:ser>
          <c:idx val="3"/>
          <c:order val="0"/>
          <c:tx>
            <c:strRef>
              <c:f>'Financial Summary (2017)'!$B$35</c:f>
              <c:strCache>
                <c:ptCount val="1"/>
                <c:pt idx="0">
                  <c:v>Repair &amp; Replace</c:v>
                </c:pt>
              </c:strCache>
            </c:strRef>
          </c:tx>
          <c:spPr>
            <a:solidFill>
              <a:schemeClr val="accent4"/>
            </a:solidFill>
            <a:ln>
              <a:noFill/>
            </a:ln>
            <a:effectLst/>
          </c:spPr>
          <c:invertIfNegative val="0"/>
          <c:cat>
            <c:numRef>
              <c:extLst>
                <c:ext xmlns:c15="http://schemas.microsoft.com/office/drawing/2012/chart" uri="{02D57815-91ED-43cb-92C2-25804820EDAC}">
                  <c15:fullRef>
                    <c15:sqref>'Financial Summary (2017)'!$D$2:$W$2</c15:sqref>
                  </c15:fullRef>
                </c:ext>
              </c:extLst>
              <c:f>'Financial Summary (2017)'!$E$2:$W$2</c:f>
              <c:numCache>
                <c:formatCode>General</c:formatCode>
                <c:ptCount val="1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numCache>
            </c:numRef>
          </c:cat>
          <c:val>
            <c:numRef>
              <c:extLst>
                <c:ext xmlns:c15="http://schemas.microsoft.com/office/drawing/2012/chart" uri="{02D57815-91ED-43cb-92C2-25804820EDAC}">
                  <c15:fullRef>
                    <c15:sqref>'Financial Summary (2017)'!$D$35:$W$35</c15:sqref>
                  </c15:fullRef>
                </c:ext>
              </c:extLst>
              <c:f>'Financial Summary (2017)'!$E$35:$W$35</c:f>
              <c:numCache>
                <c:formatCode>_("$"* #,##0_);_("$"* \(#,##0\);_("$"* "-"??_);_(@_)</c:formatCode>
                <c:ptCount val="19"/>
                <c:pt idx="0">
                  <c:v>0</c:v>
                </c:pt>
                <c:pt idx="1">
                  <c:v>994978.64070000011</c:v>
                </c:pt>
                <c:pt idx="2">
                  <c:v>1061877.4067000002</c:v>
                </c:pt>
                <c:pt idx="3">
                  <c:v>8345.8374999999996</c:v>
                </c:pt>
                <c:pt idx="4">
                  <c:v>2281068.8977999999</c:v>
                </c:pt>
                <c:pt idx="5">
                  <c:v>8345.8374999999996</c:v>
                </c:pt>
                <c:pt idx="6">
                  <c:v>8345.8374999999996</c:v>
                </c:pt>
                <c:pt idx="7">
                  <c:v>8345.8374999999996</c:v>
                </c:pt>
                <c:pt idx="8">
                  <c:v>8345.8374999999996</c:v>
                </c:pt>
                <c:pt idx="9">
                  <c:v>3477371.1500000004</c:v>
                </c:pt>
                <c:pt idx="10">
                  <c:v>8345.8374999999996</c:v>
                </c:pt>
                <c:pt idx="11">
                  <c:v>8345.8374999999996</c:v>
                </c:pt>
                <c:pt idx="12">
                  <c:v>8345.8374999999996</c:v>
                </c:pt>
                <c:pt idx="13">
                  <c:v>8345.8374999999996</c:v>
                </c:pt>
                <c:pt idx="14">
                  <c:v>1651833.8375000001</c:v>
                </c:pt>
                <c:pt idx="15">
                  <c:v>8345.8374999999996</c:v>
                </c:pt>
                <c:pt idx="16">
                  <c:v>8345.8374999999996</c:v>
                </c:pt>
                <c:pt idx="17">
                  <c:v>8345.8374999999996</c:v>
                </c:pt>
                <c:pt idx="18">
                  <c:v>2264663.3658000003</c:v>
                </c:pt>
              </c:numCache>
            </c:numRef>
          </c:val>
          <c:extLst/>
        </c:ser>
        <c:ser>
          <c:idx val="5"/>
          <c:order val="1"/>
          <c:tx>
            <c:strRef>
              <c:f>'Financial Summary (2017)'!$B$34</c:f>
              <c:strCache>
                <c:ptCount val="1"/>
                <c:pt idx="0">
                  <c:v>30 MGD Expansion</c:v>
                </c:pt>
              </c:strCache>
            </c:strRef>
          </c:tx>
          <c:spPr>
            <a:solidFill>
              <a:srgbClr val="FFC000"/>
            </a:solidFill>
            <a:ln>
              <a:noFill/>
            </a:ln>
            <a:effectLst/>
          </c:spPr>
          <c:invertIfNegative val="0"/>
          <c:cat>
            <c:numRef>
              <c:extLst>
                <c:ext xmlns:c15="http://schemas.microsoft.com/office/drawing/2012/chart" uri="{02D57815-91ED-43cb-92C2-25804820EDAC}">
                  <c15:fullRef>
                    <c15:sqref>'Financial Summary (2017)'!$D$2:$W$2</c15:sqref>
                  </c15:fullRef>
                </c:ext>
              </c:extLst>
              <c:f>'Financial Summary (2017)'!$E$2:$W$2</c:f>
              <c:numCache>
                <c:formatCode>General</c:formatCode>
                <c:ptCount val="1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numCache>
            </c:numRef>
          </c:cat>
          <c:val>
            <c:numRef>
              <c:extLst>
                <c:ext xmlns:c15="http://schemas.microsoft.com/office/drawing/2012/chart" uri="{02D57815-91ED-43cb-92C2-25804820EDAC}">
                  <c15:fullRef>
                    <c15:sqref>'Financial Summary (2017)'!$D$34:$W$34</c15:sqref>
                  </c15:fullRef>
                </c:ext>
              </c:extLst>
              <c:f>'Financial Summary (2017)'!$E$34:$W$34</c:f>
              <c:numCache>
                <c:formatCode>_("$"* #,##0_);_("$"* \(#,##0\);_("$"* "-"??_);_(@_)</c:formatCode>
                <c:ptCount val="19"/>
                <c:pt idx="0">
                  <c:v>0</c:v>
                </c:pt>
                <c:pt idx="1">
                  <c:v>0</c:v>
                </c:pt>
                <c:pt idx="2">
                  <c:v>0</c:v>
                </c:pt>
                <c:pt idx="3">
                  <c:v>0</c:v>
                </c:pt>
                <c:pt idx="4">
                  <c:v>0</c:v>
                </c:pt>
                <c:pt idx="5">
                  <c:v>0</c:v>
                </c:pt>
                <c:pt idx="6">
                  <c:v>0</c:v>
                </c:pt>
                <c:pt idx="7">
                  <c:v>0</c:v>
                </c:pt>
                <c:pt idx="8">
                  <c:v>0</c:v>
                </c:pt>
                <c:pt idx="9">
                  <c:v>0</c:v>
                </c:pt>
                <c:pt idx="10">
                  <c:v>0</c:v>
                </c:pt>
                <c:pt idx="11">
                  <c:v>0</c:v>
                </c:pt>
                <c:pt idx="12">
                  <c:v>3662178.1185499998</c:v>
                </c:pt>
                <c:pt idx="13">
                  <c:v>7498745.6713166684</c:v>
                </c:pt>
                <c:pt idx="14">
                  <c:v>7498745.6713166684</c:v>
                </c:pt>
                <c:pt idx="15">
                  <c:v>7498745.6713166684</c:v>
                </c:pt>
                <c:pt idx="16">
                  <c:v>0</c:v>
                </c:pt>
                <c:pt idx="17">
                  <c:v>0</c:v>
                </c:pt>
                <c:pt idx="18">
                  <c:v>0</c:v>
                </c:pt>
              </c:numCache>
            </c:numRef>
          </c:val>
        </c:ser>
        <c:ser>
          <c:idx val="4"/>
          <c:order val="2"/>
          <c:tx>
            <c:strRef>
              <c:f>'Financial Summary (2017)'!$B$33</c:f>
              <c:strCache>
                <c:ptCount val="1"/>
                <c:pt idx="0">
                  <c:v>Seismic Retrofits</c:v>
                </c:pt>
              </c:strCache>
            </c:strRef>
          </c:tx>
          <c:spPr>
            <a:solidFill>
              <a:srgbClr val="92D050"/>
            </a:solidFill>
            <a:ln>
              <a:noFill/>
            </a:ln>
            <a:effectLst/>
          </c:spPr>
          <c:invertIfNegative val="0"/>
          <c:cat>
            <c:numRef>
              <c:extLst>
                <c:ext xmlns:c15="http://schemas.microsoft.com/office/drawing/2012/chart" uri="{02D57815-91ED-43cb-92C2-25804820EDAC}">
                  <c15:fullRef>
                    <c15:sqref>'Financial Summary (2017)'!$D$2:$W$2</c15:sqref>
                  </c15:fullRef>
                </c:ext>
              </c:extLst>
              <c:f>'Financial Summary (2017)'!$E$2:$W$2</c:f>
              <c:numCache>
                <c:formatCode>General</c:formatCode>
                <c:ptCount val="1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numCache>
            </c:numRef>
          </c:cat>
          <c:val>
            <c:numRef>
              <c:extLst>
                <c:ext xmlns:c15="http://schemas.microsoft.com/office/drawing/2012/chart" uri="{02D57815-91ED-43cb-92C2-25804820EDAC}">
                  <c15:fullRef>
                    <c15:sqref>'Financial Summary (2017)'!$D$33:$W$33</c15:sqref>
                  </c15:fullRef>
                </c:ext>
              </c:extLst>
              <c:f>'Financial Summary (2017)'!$E$33:$W$33</c:f>
              <c:numCache>
                <c:formatCode>_("$"* #,##0_);_("$"* \(#,##0\);_("$"* "-"??_);_(@_)</c:formatCode>
                <c:ptCount val="19"/>
                <c:pt idx="0">
                  <c:v>0</c:v>
                </c:pt>
                <c:pt idx="1">
                  <c:v>0</c:v>
                </c:pt>
                <c:pt idx="2">
                  <c:v>122927.16620000001</c:v>
                </c:pt>
                <c:pt idx="3">
                  <c:v>645367.62255000009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ser>
        <c:ser>
          <c:idx val="1"/>
          <c:order val="3"/>
          <c:tx>
            <c:strRef>
              <c:f>'Financial Summary (2017)'!$B$32</c:f>
              <c:strCache>
                <c:ptCount val="1"/>
                <c:pt idx="0">
                  <c:v>Life Safety Repairs</c:v>
                </c:pt>
              </c:strCache>
            </c:strRef>
          </c:tx>
          <c:spPr>
            <a:solidFill>
              <a:srgbClr val="D60093"/>
            </a:solidFill>
            <a:ln>
              <a:noFill/>
            </a:ln>
            <a:effectLst/>
          </c:spPr>
          <c:invertIfNegative val="0"/>
          <c:cat>
            <c:numRef>
              <c:extLst>
                <c:ext xmlns:c15="http://schemas.microsoft.com/office/drawing/2012/chart" uri="{02D57815-91ED-43cb-92C2-25804820EDAC}">
                  <c15:fullRef>
                    <c15:sqref>'Financial Summary (2017)'!$D$2:$W$2</c15:sqref>
                  </c15:fullRef>
                </c:ext>
              </c:extLst>
              <c:f>'Financial Summary (2017)'!$E$2:$W$2</c:f>
              <c:numCache>
                <c:formatCode>General</c:formatCode>
                <c:ptCount val="1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numCache>
            </c:numRef>
          </c:cat>
          <c:val>
            <c:numRef>
              <c:extLst>
                <c:ext xmlns:c15="http://schemas.microsoft.com/office/drawing/2012/chart" uri="{02D57815-91ED-43cb-92C2-25804820EDAC}">
                  <c15:fullRef>
                    <c15:sqref>'Financial Summary (2017)'!$D$32:$W$32</c15:sqref>
                  </c15:fullRef>
                </c:ext>
              </c:extLst>
              <c:f>'Financial Summary (2017)'!$E$32:$W$32</c:f>
              <c:numCache>
                <c:formatCode>_("$"* #,##0_);_("$"* \(#,##0\);_("$"* "-"??_);_(@_)</c:formatCode>
                <c:ptCount val="19"/>
                <c:pt idx="0">
                  <c:v>0</c:v>
                </c:pt>
                <c:pt idx="1">
                  <c:v>0</c:v>
                </c:pt>
                <c:pt idx="2">
                  <c:v>18680.63565</c:v>
                </c:pt>
                <c:pt idx="3">
                  <c:v>392293.34865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ser>
        <c:ser>
          <c:idx val="0"/>
          <c:order val="4"/>
          <c:tx>
            <c:strRef>
              <c:f>'Financial Summary (2017)'!$B$31</c:f>
              <c:strCache>
                <c:ptCount val="1"/>
                <c:pt idx="0">
                  <c:v>20 MGD Expansion</c:v>
                </c:pt>
              </c:strCache>
            </c:strRef>
          </c:tx>
          <c:spPr>
            <a:solidFill>
              <a:schemeClr val="accent1"/>
            </a:solidFill>
            <a:ln>
              <a:noFill/>
            </a:ln>
            <a:effectLst/>
          </c:spPr>
          <c:invertIfNegative val="0"/>
          <c:cat>
            <c:numRef>
              <c:extLst>
                <c:ext xmlns:c15="http://schemas.microsoft.com/office/drawing/2012/chart" uri="{02D57815-91ED-43cb-92C2-25804820EDAC}">
                  <c15:fullRef>
                    <c15:sqref>'Financial Summary (2017)'!$D$2:$W$2</c15:sqref>
                  </c15:fullRef>
                </c:ext>
              </c:extLst>
              <c:f>'Financial Summary (2017)'!$E$2:$W$2</c:f>
              <c:numCache>
                <c:formatCode>General</c:formatCode>
                <c:ptCount val="1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numCache>
            </c:numRef>
          </c:cat>
          <c:val>
            <c:numRef>
              <c:extLst>
                <c:ext xmlns:c15="http://schemas.microsoft.com/office/drawing/2012/chart" uri="{02D57815-91ED-43cb-92C2-25804820EDAC}">
                  <c15:fullRef>
                    <c15:sqref>'Financial Summary (2017)'!$D$31:$W$31</c15:sqref>
                  </c15:fullRef>
                </c:ext>
              </c:extLst>
              <c:f>'Financial Summary (2017)'!$E$31:$W$31</c:f>
              <c:numCache>
                <c:formatCode>_("$"* #,##0_);_("$"* \(#,##0\);_("$"* "-"??_);_(@_)</c:formatCode>
                <c:ptCount val="19"/>
                <c:pt idx="0">
                  <c:v>1537114.9511666666</c:v>
                </c:pt>
                <c:pt idx="1">
                  <c:v>4471607.1306666667</c:v>
                </c:pt>
                <c:pt idx="2">
                  <c:v>4471607.1306666667</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ser>
        <c:dLbls>
          <c:showLegendKey val="0"/>
          <c:showVal val="0"/>
          <c:showCatName val="0"/>
          <c:showSerName val="0"/>
          <c:showPercent val="0"/>
          <c:showBubbleSize val="0"/>
        </c:dLbls>
        <c:gapWidth val="150"/>
        <c:overlap val="100"/>
        <c:axId val="404232280"/>
        <c:axId val="404231888"/>
      </c:barChart>
      <c:catAx>
        <c:axId val="4042322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Project</a:t>
                </a:r>
                <a:r>
                  <a:rPr lang="en-US" b="1" baseline="0"/>
                  <a:t> Year</a:t>
                </a:r>
                <a:endParaRPr lang="en-US"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4231888"/>
        <c:crosses val="autoZero"/>
        <c:auto val="1"/>
        <c:lblAlgn val="ctr"/>
        <c:lblOffset val="100"/>
        <c:noMultiLvlLbl val="0"/>
      </c:catAx>
      <c:valAx>
        <c:axId val="4042318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u="none" strike="noStrike" baseline="0">
                    <a:effectLst/>
                  </a:rPr>
                  <a:t>Project Cost (2017)</a:t>
                </a:r>
                <a:endParaRPr lang="en-US"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quot;MM&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42322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baseline="0">
                <a:effectLst/>
              </a:rPr>
              <a:t>WRWTP 2017 MPU - </a:t>
            </a:r>
            <a:endParaRPr lang="en-US"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1400"/>
              <a:t>Near Term CIP (City of Sherwood)</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stacked"/>
        <c:varyColors val="0"/>
        <c:ser>
          <c:idx val="3"/>
          <c:order val="0"/>
          <c:tx>
            <c:strRef>
              <c:f>'Financial Summary (Future)'!$B$41</c:f>
              <c:strCache>
                <c:ptCount val="1"/>
                <c:pt idx="0">
                  <c:v>Repair &amp; Replace</c:v>
                </c:pt>
              </c:strCache>
            </c:strRef>
          </c:tx>
          <c:spPr>
            <a:solidFill>
              <a:schemeClr val="accent4"/>
            </a:solidFill>
            <a:ln>
              <a:noFill/>
            </a:ln>
            <a:effectLst/>
          </c:spPr>
          <c:invertIfNegative val="0"/>
          <c:cat>
            <c:numRef>
              <c:f>'Financial Summary (Future)'!$F$2:$I$2</c:f>
              <c:numCache>
                <c:formatCode>General</c:formatCode>
                <c:ptCount val="4"/>
                <c:pt idx="0">
                  <c:v>2019</c:v>
                </c:pt>
                <c:pt idx="1">
                  <c:v>2020</c:v>
                </c:pt>
                <c:pt idx="2">
                  <c:v>2021</c:v>
                </c:pt>
                <c:pt idx="3">
                  <c:v>2022</c:v>
                </c:pt>
              </c:numCache>
              <c:extLst/>
            </c:numRef>
          </c:cat>
          <c:val>
            <c:numRef>
              <c:f>'Financial Summary (Future)'!$F$41:$I$41</c:f>
              <c:numCache>
                <c:formatCode>_("$"* #,##0_);_("$"* \(#,##0\);_("$"* "-"??_);_(@_)</c:formatCode>
                <c:ptCount val="4"/>
                <c:pt idx="0">
                  <c:v>526995.13597137004</c:v>
                </c:pt>
                <c:pt idx="1">
                  <c:v>579301.23482162901</c:v>
                </c:pt>
                <c:pt idx="2">
                  <c:v>4689.6153520466241</c:v>
                </c:pt>
                <c:pt idx="3">
                  <c:v>1320209.7205780633</c:v>
                </c:pt>
              </c:numCache>
              <c:extLst/>
            </c:numRef>
          </c:val>
        </c:ser>
        <c:ser>
          <c:idx val="4"/>
          <c:order val="2"/>
          <c:tx>
            <c:strRef>
              <c:f>'Financial Summary (Future)'!$B$39</c:f>
              <c:strCache>
                <c:ptCount val="1"/>
                <c:pt idx="0">
                  <c:v>Seismic Retrofits</c:v>
                </c:pt>
              </c:strCache>
            </c:strRef>
          </c:tx>
          <c:spPr>
            <a:solidFill>
              <a:srgbClr val="92D050"/>
            </a:solidFill>
            <a:ln>
              <a:noFill/>
            </a:ln>
            <a:effectLst/>
          </c:spPr>
          <c:invertIfNegative val="0"/>
          <c:cat>
            <c:numRef>
              <c:f>'Financial Summary (Future)'!$F$2:$I$2</c:f>
              <c:numCache>
                <c:formatCode>General</c:formatCode>
                <c:ptCount val="4"/>
                <c:pt idx="0">
                  <c:v>2019</c:v>
                </c:pt>
                <c:pt idx="1">
                  <c:v>2020</c:v>
                </c:pt>
                <c:pt idx="2">
                  <c:v>2021</c:v>
                </c:pt>
                <c:pt idx="3">
                  <c:v>2022</c:v>
                </c:pt>
              </c:numCache>
              <c:extLst/>
            </c:numRef>
          </c:cat>
          <c:val>
            <c:numRef>
              <c:f>'Financial Summary (Future)'!$F$39:$I$39</c:f>
              <c:numCache>
                <c:formatCode>_("$"* #,##0_);_("$"* \(#,##0\);_("$"* "-"??_);_(@_)</c:formatCode>
                <c:ptCount val="4"/>
                <c:pt idx="0">
                  <c:v>0</c:v>
                </c:pt>
                <c:pt idx="1">
                  <c:v>71146.312106958721</c:v>
                </c:pt>
                <c:pt idx="2">
                  <c:v>373518.1385615333</c:v>
                </c:pt>
                <c:pt idx="3">
                  <c:v>0</c:v>
                </c:pt>
              </c:numCache>
              <c:extLst/>
            </c:numRef>
          </c:val>
        </c:ser>
        <c:ser>
          <c:idx val="1"/>
          <c:order val="3"/>
          <c:tx>
            <c:strRef>
              <c:f>'Financial Summary (Future)'!$B$38</c:f>
              <c:strCache>
                <c:ptCount val="1"/>
                <c:pt idx="0">
                  <c:v>Life Safety Repairs</c:v>
                </c:pt>
              </c:strCache>
            </c:strRef>
          </c:tx>
          <c:spPr>
            <a:solidFill>
              <a:srgbClr val="D60093"/>
            </a:solidFill>
            <a:ln>
              <a:noFill/>
            </a:ln>
            <a:effectLst/>
          </c:spPr>
          <c:invertIfNegative val="0"/>
          <c:cat>
            <c:numRef>
              <c:f>'Financial Summary (Future)'!$F$2:$I$2</c:f>
              <c:numCache>
                <c:formatCode>General</c:formatCode>
                <c:ptCount val="4"/>
                <c:pt idx="0">
                  <c:v>2019</c:v>
                </c:pt>
                <c:pt idx="1">
                  <c:v>2020</c:v>
                </c:pt>
                <c:pt idx="2">
                  <c:v>2021</c:v>
                </c:pt>
                <c:pt idx="3">
                  <c:v>2022</c:v>
                </c:pt>
              </c:numCache>
              <c:extLst/>
            </c:numRef>
          </c:cat>
          <c:val>
            <c:numRef>
              <c:f>'Financial Summary (Future)'!$F$38:$I$38</c:f>
              <c:numCache>
                <c:formatCode>_("$"* #,##0_);_("$"* \(#,##0\);_("$"* "-"??_);_(@_)</c:formatCode>
                <c:ptCount val="4"/>
                <c:pt idx="0">
                  <c:v>0</c:v>
                </c:pt>
                <c:pt idx="1">
                  <c:v>10811.754434727054</c:v>
                </c:pt>
                <c:pt idx="2">
                  <c:v>227046.84312926818</c:v>
                </c:pt>
                <c:pt idx="3">
                  <c:v>0</c:v>
                </c:pt>
              </c:numCache>
              <c:extLst/>
            </c:numRef>
          </c:val>
        </c:ser>
        <c:ser>
          <c:idx val="0"/>
          <c:order val="4"/>
          <c:tx>
            <c:strRef>
              <c:f>'Financial Summary (Future)'!$B$37</c:f>
              <c:strCache>
                <c:ptCount val="1"/>
                <c:pt idx="0">
                  <c:v>20 MGD Expansion</c:v>
                </c:pt>
              </c:strCache>
            </c:strRef>
          </c:tx>
          <c:spPr>
            <a:solidFill>
              <a:schemeClr val="accent1"/>
            </a:solidFill>
            <a:ln>
              <a:noFill/>
            </a:ln>
            <a:effectLst/>
          </c:spPr>
          <c:invertIfNegative val="0"/>
          <c:cat>
            <c:numRef>
              <c:f>'Financial Summary (Future)'!$F$2:$I$2</c:f>
              <c:numCache>
                <c:formatCode>General</c:formatCode>
                <c:ptCount val="4"/>
                <c:pt idx="0">
                  <c:v>2019</c:v>
                </c:pt>
                <c:pt idx="1">
                  <c:v>2020</c:v>
                </c:pt>
                <c:pt idx="2">
                  <c:v>2021</c:v>
                </c:pt>
                <c:pt idx="3">
                  <c:v>2022</c:v>
                </c:pt>
              </c:numCache>
              <c:extLst/>
            </c:numRef>
          </c:cat>
          <c:val>
            <c:numRef>
              <c:f>'Financial Summary (Future)'!$F$37:$I$37</c:f>
              <c:numCache>
                <c:formatCode>_("$"* #,##0_);_("$"* \(#,##0\);_("$"* "-"??_);_(@_)</c:formatCode>
                <c:ptCount val="4"/>
                <c:pt idx="0">
                  <c:v>2515316.8972119056</c:v>
                </c:pt>
                <c:pt idx="1">
                  <c:v>2515316.8972119056</c:v>
                </c:pt>
                <c:pt idx="2">
                  <c:v>0</c:v>
                </c:pt>
                <c:pt idx="3">
                  <c:v>0</c:v>
                </c:pt>
              </c:numCache>
              <c:extLst/>
            </c:numRef>
          </c:val>
        </c:ser>
        <c:dLbls>
          <c:showLegendKey val="0"/>
          <c:showVal val="0"/>
          <c:showCatName val="0"/>
          <c:showSerName val="0"/>
          <c:showPercent val="0"/>
          <c:showBubbleSize val="0"/>
        </c:dLbls>
        <c:gapWidth val="150"/>
        <c:overlap val="100"/>
        <c:axId val="410644808"/>
        <c:axId val="410645200"/>
        <c:extLst>
          <c:ext xmlns:c15="http://schemas.microsoft.com/office/drawing/2012/chart" uri="{02D57815-91ED-43cb-92C2-25804820EDAC}">
            <c15:filteredBarSeries>
              <c15:ser>
                <c:idx val="5"/>
                <c:order val="1"/>
                <c:tx>
                  <c:strRef>
                    <c:extLst>
                      <c:ext uri="{02D57815-91ED-43cb-92C2-25804820EDAC}">
                        <c15:formulaRef>
                          <c15:sqref>'Financial Summary (Future)'!$B$40</c15:sqref>
                        </c15:formulaRef>
                      </c:ext>
                    </c:extLst>
                    <c:strCache>
                      <c:ptCount val="1"/>
                      <c:pt idx="0">
                        <c:v>30 MGD Expansion</c:v>
                      </c:pt>
                    </c:strCache>
                  </c:strRef>
                </c:tx>
                <c:spPr>
                  <a:solidFill>
                    <a:schemeClr val="accent6"/>
                  </a:solidFill>
                  <a:ln>
                    <a:noFill/>
                  </a:ln>
                  <a:effectLst/>
                </c:spPr>
                <c:invertIfNegative val="0"/>
                <c:cat>
                  <c:numRef>
                    <c:extLst>
                      <c:ext uri="{02D57815-91ED-43cb-92C2-25804820EDAC}">
                        <c15:formulaRef>
                          <c15:sqref>'Financial Summary (Future)'!$F$2:$I$2</c15:sqref>
                        </c15:formulaRef>
                      </c:ext>
                    </c:extLst>
                    <c:numCache>
                      <c:formatCode>General</c:formatCode>
                      <c:ptCount val="4"/>
                      <c:pt idx="0">
                        <c:v>2019</c:v>
                      </c:pt>
                      <c:pt idx="1">
                        <c:v>2020</c:v>
                      </c:pt>
                      <c:pt idx="2">
                        <c:v>2021</c:v>
                      </c:pt>
                      <c:pt idx="3">
                        <c:v>2022</c:v>
                      </c:pt>
                    </c:numCache>
                  </c:numRef>
                </c:cat>
                <c:val>
                  <c:numRef>
                    <c:extLst>
                      <c:ext uri="{02D57815-91ED-43cb-92C2-25804820EDAC}">
                        <c15:formulaRef>
                          <c15:sqref>'Financial Summary (Future)'!$F$40:$I$40</c15:sqref>
                        </c15:formulaRef>
                      </c:ext>
                    </c:extLst>
                    <c:numCache>
                      <c:formatCode>_("$"* #,##0_);_("$"* \(#,##0\);_("$"* "-"??_);_(@_)</c:formatCode>
                      <c:ptCount val="4"/>
                      <c:pt idx="0">
                        <c:v>0</c:v>
                      </c:pt>
                      <c:pt idx="1">
                        <c:v>0</c:v>
                      </c:pt>
                      <c:pt idx="2">
                        <c:v>0</c:v>
                      </c:pt>
                      <c:pt idx="3">
                        <c:v>0</c:v>
                      </c:pt>
                    </c:numCache>
                  </c:numRef>
                </c:val>
              </c15:ser>
            </c15:filteredBarSeries>
          </c:ext>
        </c:extLst>
      </c:barChart>
      <c:catAx>
        <c:axId val="4106448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Project</a:t>
                </a:r>
                <a:r>
                  <a:rPr lang="en-US" b="1" baseline="0"/>
                  <a:t> Year</a:t>
                </a:r>
                <a:endParaRPr lang="en-US"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0645200"/>
        <c:crosses val="autoZero"/>
        <c:auto val="1"/>
        <c:lblAlgn val="ctr"/>
        <c:lblOffset val="100"/>
        <c:noMultiLvlLbl val="0"/>
      </c:catAx>
      <c:valAx>
        <c:axId val="410645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u="none" strike="noStrike" baseline="0">
                    <a:effectLst/>
                  </a:rPr>
                  <a:t>Project Cost (2017)</a:t>
                </a:r>
                <a:endParaRPr lang="en-US"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quot;MM&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06448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baseline="0">
                <a:effectLst/>
              </a:rPr>
              <a:t>WRWTP 2017 MPU - </a:t>
            </a:r>
            <a:endParaRPr lang="en-US"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1400"/>
              <a:t>Total CIP (City of Sherwood)</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stacked"/>
        <c:varyColors val="0"/>
        <c:ser>
          <c:idx val="3"/>
          <c:order val="0"/>
          <c:tx>
            <c:strRef>
              <c:f>'Financial Summary (2017)'!$B$41</c:f>
              <c:strCache>
                <c:ptCount val="1"/>
                <c:pt idx="0">
                  <c:v>Repair &amp; Replace</c:v>
                </c:pt>
              </c:strCache>
            </c:strRef>
          </c:tx>
          <c:spPr>
            <a:solidFill>
              <a:schemeClr val="accent4"/>
            </a:solidFill>
            <a:ln>
              <a:noFill/>
            </a:ln>
            <a:effectLst/>
          </c:spPr>
          <c:invertIfNegative val="0"/>
          <c:cat>
            <c:numRef>
              <c:extLst>
                <c:ext xmlns:c15="http://schemas.microsoft.com/office/drawing/2012/chart" uri="{02D57815-91ED-43cb-92C2-25804820EDAC}">
                  <c15:fullRef>
                    <c15:sqref>'Financial Summary (2017)'!$D$2:$W$2</c15:sqref>
                  </c15:fullRef>
                </c:ext>
              </c:extLst>
              <c:f>'Financial Summary (2017)'!$E$2:$W$2</c:f>
              <c:numCache>
                <c:formatCode>General</c:formatCode>
                <c:ptCount val="1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numCache>
            </c:numRef>
          </c:cat>
          <c:val>
            <c:numRef>
              <c:extLst>
                <c:ext xmlns:c15="http://schemas.microsoft.com/office/drawing/2012/chart" uri="{02D57815-91ED-43cb-92C2-25804820EDAC}">
                  <c15:fullRef>
                    <c15:sqref>'Financial Summary (2017)'!$D$41:$W$41</c15:sqref>
                  </c15:fullRef>
                </c:ext>
              </c:extLst>
              <c:f>'Financial Summary (2017)'!$E$41:$W$41</c:f>
              <c:numCache>
                <c:formatCode>_("$"* #,##0_);_("$"* \(#,##0\);_("$"* "-"??_);_(@_)</c:formatCode>
                <c:ptCount val="19"/>
                <c:pt idx="0">
                  <c:v>0</c:v>
                </c:pt>
                <c:pt idx="1">
                  <c:v>496743.45929999999</c:v>
                </c:pt>
                <c:pt idx="2">
                  <c:v>530142.69329999993</c:v>
                </c:pt>
                <c:pt idx="3">
                  <c:v>4166.6624999999995</c:v>
                </c:pt>
                <c:pt idx="4">
                  <c:v>1138824.5021999998</c:v>
                </c:pt>
                <c:pt idx="5">
                  <c:v>4166.6624999999995</c:v>
                </c:pt>
                <c:pt idx="6">
                  <c:v>4166.6624999999995</c:v>
                </c:pt>
                <c:pt idx="7">
                  <c:v>4166.6624999999995</c:v>
                </c:pt>
                <c:pt idx="8">
                  <c:v>4166.6624999999995</c:v>
                </c:pt>
                <c:pt idx="9">
                  <c:v>1736078.8499999999</c:v>
                </c:pt>
                <c:pt idx="10">
                  <c:v>4166.6624999999995</c:v>
                </c:pt>
                <c:pt idx="11">
                  <c:v>4166.6624999999995</c:v>
                </c:pt>
                <c:pt idx="12">
                  <c:v>4166.6624999999995</c:v>
                </c:pt>
                <c:pt idx="13">
                  <c:v>4166.6624999999995</c:v>
                </c:pt>
                <c:pt idx="14">
                  <c:v>824678.66249999986</c:v>
                </c:pt>
                <c:pt idx="15">
                  <c:v>4166.6624999999995</c:v>
                </c:pt>
                <c:pt idx="16">
                  <c:v>4166.6624999999995</c:v>
                </c:pt>
                <c:pt idx="17">
                  <c:v>4166.6624999999995</c:v>
                </c:pt>
                <c:pt idx="18">
                  <c:v>1130634.0341999999</c:v>
                </c:pt>
              </c:numCache>
            </c:numRef>
          </c:val>
        </c:ser>
        <c:ser>
          <c:idx val="5"/>
          <c:order val="1"/>
          <c:tx>
            <c:strRef>
              <c:f>'Financial Summary (2017)'!$B$40</c:f>
              <c:strCache>
                <c:ptCount val="1"/>
                <c:pt idx="0">
                  <c:v>30 MGD Expansion</c:v>
                </c:pt>
              </c:strCache>
            </c:strRef>
          </c:tx>
          <c:spPr>
            <a:solidFill>
              <a:srgbClr val="FFC000"/>
            </a:solidFill>
            <a:ln>
              <a:noFill/>
            </a:ln>
            <a:effectLst/>
          </c:spPr>
          <c:invertIfNegative val="0"/>
          <c:cat>
            <c:numRef>
              <c:extLst>
                <c:ext xmlns:c15="http://schemas.microsoft.com/office/drawing/2012/chart" uri="{02D57815-91ED-43cb-92C2-25804820EDAC}">
                  <c15:fullRef>
                    <c15:sqref>'Financial Summary (2017)'!$D$2:$W$2</c15:sqref>
                  </c15:fullRef>
                </c:ext>
              </c:extLst>
              <c:f>'Financial Summary (2017)'!$E$2:$W$2</c:f>
              <c:numCache>
                <c:formatCode>General</c:formatCode>
                <c:ptCount val="1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numCache>
            </c:numRef>
          </c:cat>
          <c:val>
            <c:numRef>
              <c:extLst>
                <c:ext xmlns:c15="http://schemas.microsoft.com/office/drawing/2012/chart" uri="{02D57815-91ED-43cb-92C2-25804820EDAC}">
                  <c15:fullRef>
                    <c15:sqref>'Financial Summary (2017)'!$D$40:$W$40</c15:sqref>
                  </c15:fullRef>
                </c:ext>
              </c:extLst>
              <c:f>'Financial Summary (2017)'!$E$40:$W$40</c:f>
              <c:numCache>
                <c:formatCode>_("$"* #,##0_);_("$"* \(#,##0\);_("$"* "-"??_);_(@_)</c:formatCode>
                <c:ptCount val="19"/>
                <c:pt idx="0">
                  <c:v>0</c:v>
                </c:pt>
                <c:pt idx="1">
                  <c:v>0</c:v>
                </c:pt>
                <c:pt idx="2">
                  <c:v>0</c:v>
                </c:pt>
                <c:pt idx="3">
                  <c:v>0</c:v>
                </c:pt>
                <c:pt idx="4">
                  <c:v>0</c:v>
                </c:pt>
                <c:pt idx="5">
                  <c:v>0</c:v>
                </c:pt>
                <c:pt idx="6">
                  <c:v>0</c:v>
                </c:pt>
                <c:pt idx="7">
                  <c:v>0</c:v>
                </c:pt>
                <c:pt idx="8">
                  <c:v>0</c:v>
                </c:pt>
                <c:pt idx="9">
                  <c:v>0</c:v>
                </c:pt>
                <c:pt idx="10">
                  <c:v>0</c:v>
                </c:pt>
                <c:pt idx="11">
                  <c:v>0</c:v>
                </c:pt>
                <c:pt idx="12">
                  <c:v>1747243.0314499997</c:v>
                </c:pt>
                <c:pt idx="13">
                  <c:v>3577688.1120166667</c:v>
                </c:pt>
                <c:pt idx="14">
                  <c:v>3577688.1120166667</c:v>
                </c:pt>
                <c:pt idx="15">
                  <c:v>3577688.1120166667</c:v>
                </c:pt>
                <c:pt idx="16">
                  <c:v>0</c:v>
                </c:pt>
                <c:pt idx="17">
                  <c:v>0</c:v>
                </c:pt>
                <c:pt idx="18">
                  <c:v>0</c:v>
                </c:pt>
              </c:numCache>
            </c:numRef>
          </c:val>
        </c:ser>
        <c:ser>
          <c:idx val="4"/>
          <c:order val="2"/>
          <c:tx>
            <c:strRef>
              <c:f>'Financial Summary (2017)'!$B$39</c:f>
              <c:strCache>
                <c:ptCount val="1"/>
                <c:pt idx="0">
                  <c:v>Seismic Retrofits</c:v>
                </c:pt>
              </c:strCache>
            </c:strRef>
          </c:tx>
          <c:spPr>
            <a:solidFill>
              <a:srgbClr val="92D050"/>
            </a:solidFill>
            <a:ln>
              <a:noFill/>
            </a:ln>
            <a:effectLst/>
          </c:spPr>
          <c:invertIfNegative val="0"/>
          <c:cat>
            <c:numRef>
              <c:extLst>
                <c:ext xmlns:c15="http://schemas.microsoft.com/office/drawing/2012/chart" uri="{02D57815-91ED-43cb-92C2-25804820EDAC}">
                  <c15:fullRef>
                    <c15:sqref>'Financial Summary (2017)'!$D$2:$W$2</c15:sqref>
                  </c15:fullRef>
                </c:ext>
              </c:extLst>
              <c:f>'Financial Summary (2017)'!$E$2:$W$2</c:f>
              <c:numCache>
                <c:formatCode>General</c:formatCode>
                <c:ptCount val="1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numCache>
            </c:numRef>
          </c:cat>
          <c:val>
            <c:numRef>
              <c:extLst>
                <c:ext xmlns:c15="http://schemas.microsoft.com/office/drawing/2012/chart" uri="{02D57815-91ED-43cb-92C2-25804820EDAC}">
                  <c15:fullRef>
                    <c15:sqref>'Financial Summary (2017)'!$D$39:$W$39</c15:sqref>
                  </c15:fullRef>
                </c:ext>
              </c:extLst>
              <c:f>'Financial Summary (2017)'!$E$39:$W$39</c:f>
              <c:numCache>
                <c:formatCode>_("$"* #,##0_);_("$"* \(#,##0\);_("$"* "-"??_);_(@_)</c:formatCode>
                <c:ptCount val="19"/>
                <c:pt idx="0">
                  <c:v>0</c:v>
                </c:pt>
                <c:pt idx="1">
                  <c:v>0</c:v>
                </c:pt>
                <c:pt idx="2">
                  <c:v>61371.433799999992</c:v>
                </c:pt>
                <c:pt idx="3">
                  <c:v>322200.02744999999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er>
        <c:ser>
          <c:idx val="1"/>
          <c:order val="3"/>
          <c:tx>
            <c:strRef>
              <c:f>'Financial Summary (2017)'!$B$38</c:f>
              <c:strCache>
                <c:ptCount val="1"/>
                <c:pt idx="0">
                  <c:v>Life Safety Repairs</c:v>
                </c:pt>
              </c:strCache>
            </c:strRef>
          </c:tx>
          <c:spPr>
            <a:solidFill>
              <a:srgbClr val="D60093"/>
            </a:solidFill>
            <a:ln>
              <a:noFill/>
            </a:ln>
            <a:effectLst/>
          </c:spPr>
          <c:invertIfNegative val="0"/>
          <c:cat>
            <c:numRef>
              <c:extLst>
                <c:ext xmlns:c15="http://schemas.microsoft.com/office/drawing/2012/chart" uri="{02D57815-91ED-43cb-92C2-25804820EDAC}">
                  <c15:fullRef>
                    <c15:sqref>'Financial Summary (2017)'!$D$2:$W$2</c15:sqref>
                  </c15:fullRef>
                </c:ext>
              </c:extLst>
              <c:f>'Financial Summary (2017)'!$E$2:$W$2</c:f>
              <c:numCache>
                <c:formatCode>General</c:formatCode>
                <c:ptCount val="1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numCache>
            </c:numRef>
          </c:cat>
          <c:val>
            <c:numRef>
              <c:extLst>
                <c:ext xmlns:c15="http://schemas.microsoft.com/office/drawing/2012/chart" uri="{02D57815-91ED-43cb-92C2-25804820EDAC}">
                  <c15:fullRef>
                    <c15:sqref>'Financial Summary (2017)'!$D$38:$W$38</c15:sqref>
                  </c15:fullRef>
                </c:ext>
              </c:extLst>
              <c:f>'Financial Summary (2017)'!$E$38:$W$38</c:f>
              <c:numCache>
                <c:formatCode>_("$"* #,##0_);_("$"* \(#,##0\);_("$"* "-"??_);_(@_)</c:formatCode>
                <c:ptCount val="19"/>
                <c:pt idx="0">
                  <c:v>0</c:v>
                </c:pt>
                <c:pt idx="1">
                  <c:v>0</c:v>
                </c:pt>
                <c:pt idx="2">
                  <c:v>9326.3143499999987</c:v>
                </c:pt>
                <c:pt idx="3">
                  <c:v>195852.60134999995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er>
        <c:ser>
          <c:idx val="0"/>
          <c:order val="4"/>
          <c:tx>
            <c:strRef>
              <c:f>'Financial Summary (2017)'!$B$37</c:f>
              <c:strCache>
                <c:ptCount val="1"/>
                <c:pt idx="0">
                  <c:v>20 MGD Expansion</c:v>
                </c:pt>
              </c:strCache>
            </c:strRef>
          </c:tx>
          <c:spPr>
            <a:solidFill>
              <a:schemeClr val="accent1"/>
            </a:solidFill>
            <a:ln>
              <a:noFill/>
            </a:ln>
            <a:effectLst/>
          </c:spPr>
          <c:invertIfNegative val="0"/>
          <c:cat>
            <c:numRef>
              <c:extLst>
                <c:ext xmlns:c15="http://schemas.microsoft.com/office/drawing/2012/chart" uri="{02D57815-91ED-43cb-92C2-25804820EDAC}">
                  <c15:fullRef>
                    <c15:sqref>'Financial Summary (2017)'!$D$2:$W$2</c15:sqref>
                  </c15:fullRef>
                </c:ext>
              </c:extLst>
              <c:f>'Financial Summary (2017)'!$E$2:$W$2</c:f>
              <c:numCache>
                <c:formatCode>General</c:formatCode>
                <c:ptCount val="1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numCache>
            </c:numRef>
          </c:cat>
          <c:val>
            <c:numRef>
              <c:extLst>
                <c:ext xmlns:c15="http://schemas.microsoft.com/office/drawing/2012/chart" uri="{02D57815-91ED-43cb-92C2-25804820EDAC}">
                  <c15:fullRef>
                    <c15:sqref>'Financial Summary (2017)'!$D$37:$W$37</c15:sqref>
                  </c15:fullRef>
                </c:ext>
              </c:extLst>
              <c:f>'Financial Summary (2017)'!$E$37:$W$37</c:f>
              <c:numCache>
                <c:formatCode>_("$"* #,##0_);_("$"* \(#,##0\);_("$"* "-"??_);_(@_)</c:formatCode>
                <c:ptCount val="19"/>
                <c:pt idx="0">
                  <c:v>767405.21549999982</c:v>
                </c:pt>
                <c:pt idx="1">
                  <c:v>2232451.5359999998</c:v>
                </c:pt>
                <c:pt idx="2">
                  <c:v>2232451.5359999998</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er>
        <c:dLbls>
          <c:showLegendKey val="0"/>
          <c:showVal val="0"/>
          <c:showCatName val="0"/>
          <c:showSerName val="0"/>
          <c:showPercent val="0"/>
          <c:showBubbleSize val="0"/>
        </c:dLbls>
        <c:gapWidth val="150"/>
        <c:overlap val="100"/>
        <c:axId val="404224832"/>
        <c:axId val="410645984"/>
      </c:barChart>
      <c:catAx>
        <c:axId val="4042248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Project</a:t>
                </a:r>
                <a:r>
                  <a:rPr lang="en-US" b="1" baseline="0"/>
                  <a:t> Year</a:t>
                </a:r>
                <a:endParaRPr lang="en-US"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0645984"/>
        <c:crosses val="autoZero"/>
        <c:auto val="1"/>
        <c:lblAlgn val="ctr"/>
        <c:lblOffset val="100"/>
        <c:noMultiLvlLbl val="0"/>
      </c:catAx>
      <c:valAx>
        <c:axId val="4106459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u="none" strike="noStrike" baseline="0">
                    <a:effectLst/>
                  </a:rPr>
                  <a:t>Project Cost (2017)</a:t>
                </a:r>
                <a:endParaRPr lang="en-US"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quot;MM&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42248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2.xml"/></Relationships>
</file>

<file path=xl/chartsheets/sheet1.xml><?xml version="1.0" encoding="utf-8"?>
<chartsheet xmlns="http://schemas.openxmlformats.org/spreadsheetml/2006/main" xmlns:r="http://schemas.openxmlformats.org/officeDocument/2006/relationships">
  <sheetPr>
    <tabColor rgb="FF7030A0"/>
  </sheetPr>
  <sheetViews>
    <sheetView zoomScale="89"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tabColor rgb="FF7030A0"/>
  </sheetPr>
  <sheetViews>
    <sheetView zoomScale="102"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tabColor rgb="FF7030A0"/>
  </sheetPr>
  <sheetViews>
    <sheetView zoomScale="102"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tabColor rgb="FF7030A0"/>
  </sheetPr>
  <sheetViews>
    <sheetView zoomScale="86"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tabColor rgb="FF7030A0"/>
  </sheetPr>
  <sheetViews>
    <sheetView zoomScale="86"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tabColor rgb="FF7030A0"/>
  </sheetPr>
  <sheetViews>
    <sheetView zoomScale="86" workbookViewId="0" zoomToFit="1"/>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sheetPr>
    <tabColor rgb="FF7030A0"/>
  </sheetPr>
  <sheetViews>
    <sheetView zoomScale="86"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tabColor rgb="FF7030A0"/>
  </sheetPr>
  <sheetViews>
    <sheetView zoomScale="86"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175260</xdr:colOff>
      <xdr:row>20</xdr:row>
      <xdr:rowOff>114299</xdr:rowOff>
    </xdr:from>
    <xdr:to>
      <xdr:col>3</xdr:col>
      <xdr:colOff>5221823</xdr:colOff>
      <xdr:row>50</xdr:row>
      <xdr:rowOff>147263</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 y="3771899"/>
          <a:ext cx="7820243" cy="551936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8663126" cy="628095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656674" cy="628207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8656674" cy="628207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106680</xdr:colOff>
      <xdr:row>8</xdr:row>
      <xdr:rowOff>144780</xdr:rowOff>
    </xdr:from>
    <xdr:to>
      <xdr:col>4</xdr:col>
      <xdr:colOff>115884</xdr:colOff>
      <xdr:row>38</xdr:row>
      <xdr:rowOff>155809</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80" y="1600200"/>
          <a:ext cx="7773984" cy="5497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10</xdr:row>
      <xdr:rowOff>61225</xdr:rowOff>
    </xdr:from>
    <xdr:to>
      <xdr:col>5</xdr:col>
      <xdr:colOff>659561</xdr:colOff>
      <xdr:row>39</xdr:row>
      <xdr:rowOff>160019</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882405"/>
          <a:ext cx="7639481" cy="54023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114301</xdr:colOff>
      <xdr:row>12</xdr:row>
      <xdr:rowOff>45720</xdr:rowOff>
    </xdr:from>
    <xdr:to>
      <xdr:col>4</xdr:col>
      <xdr:colOff>510539</xdr:colOff>
      <xdr:row>43</xdr:row>
      <xdr:rowOff>7462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1" y="3154680"/>
          <a:ext cx="7962898" cy="56310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0" y="0"/>
    <xdr:ext cx="8664539" cy="628436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58412" cy="628276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58412" cy="628276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63126" cy="628095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63126" cy="628095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G105"/>
  <sheetViews>
    <sheetView tabSelected="1" zoomScaleNormal="100" zoomScaleSheetLayoutView="115" workbookViewId="0">
      <selection activeCell="B36" sqref="B36:I36"/>
    </sheetView>
  </sheetViews>
  <sheetFormatPr defaultRowHeight="14.4" x14ac:dyDescent="0.3"/>
  <cols>
    <col min="1" max="1" width="5.44140625" customWidth="1"/>
    <col min="2" max="2" width="24.6640625" customWidth="1"/>
    <col min="3" max="3" width="13.6640625" customWidth="1"/>
    <col min="4" max="5" width="14.6640625" customWidth="1"/>
    <col min="6" max="7" width="8.88671875" customWidth="1"/>
    <col min="8" max="8" width="18" customWidth="1"/>
    <col min="9" max="10" width="8.88671875" customWidth="1"/>
    <col min="11" max="11" width="19.6640625" customWidth="1"/>
    <col min="12" max="13" width="8.88671875" customWidth="1"/>
    <col min="14" max="14" width="20.5546875" customWidth="1"/>
    <col min="15" max="15" width="13.88671875" customWidth="1"/>
    <col min="16" max="16" width="14.5546875" customWidth="1"/>
    <col min="17" max="17" width="11.5546875" customWidth="1"/>
    <col min="18" max="18" width="12.33203125" customWidth="1"/>
    <col min="19" max="19" width="15.5546875" customWidth="1"/>
    <col min="20" max="20" width="8.88671875" customWidth="1"/>
    <col min="21" max="21" width="10.109375" customWidth="1"/>
    <col min="22" max="22" width="15" customWidth="1"/>
    <col min="23" max="23" width="15.5546875" customWidth="1"/>
    <col min="24" max="24" width="22.109375" customWidth="1"/>
    <col min="25" max="25" width="21.88671875" customWidth="1"/>
    <col min="26" max="26" width="29.109375" customWidth="1"/>
    <col min="29" max="29" width="14.44140625" customWidth="1"/>
    <col min="30" max="30" width="16.6640625" customWidth="1"/>
  </cols>
  <sheetData>
    <row r="1" spans="1:30" ht="15" customHeight="1" x14ac:dyDescent="0.3">
      <c r="A1" s="18"/>
      <c r="B1" s="18"/>
      <c r="C1" s="18"/>
      <c r="D1" s="18"/>
      <c r="E1" s="18"/>
      <c r="F1" s="18"/>
      <c r="G1" s="18"/>
    </row>
    <row r="2" spans="1:30" ht="15" customHeight="1" x14ac:dyDescent="0.3">
      <c r="A2" s="23" t="s">
        <v>15</v>
      </c>
      <c r="B2" s="18"/>
      <c r="C2" s="18"/>
      <c r="D2" s="18"/>
      <c r="E2" s="18"/>
      <c r="F2" s="18"/>
      <c r="G2" s="18"/>
    </row>
    <row r="3" spans="1:30" ht="27" customHeight="1" x14ac:dyDescent="0.3">
      <c r="A3" s="18">
        <v>1</v>
      </c>
      <c r="B3" s="411" t="s">
        <v>344</v>
      </c>
      <c r="C3" s="411"/>
      <c r="D3" s="411"/>
      <c r="E3" s="411"/>
      <c r="F3" s="411"/>
      <c r="G3" s="411"/>
      <c r="H3" s="411"/>
      <c r="I3" s="411"/>
    </row>
    <row r="4" spans="1:30" ht="14.4" customHeight="1" x14ac:dyDescent="0.3">
      <c r="A4" s="18">
        <v>2</v>
      </c>
      <c r="B4" s="147" t="s">
        <v>18</v>
      </c>
      <c r="C4" s="147"/>
      <c r="D4" s="147"/>
      <c r="E4" s="147"/>
      <c r="F4" s="18"/>
      <c r="G4" s="18"/>
    </row>
    <row r="5" spans="1:30" x14ac:dyDescent="0.3">
      <c r="A5" s="18"/>
      <c r="B5" s="38"/>
      <c r="C5" s="46" t="s">
        <v>32</v>
      </c>
      <c r="D5" s="18"/>
      <c r="E5" s="18"/>
      <c r="F5" s="18"/>
      <c r="G5" s="18"/>
    </row>
    <row r="6" spans="1:30" x14ac:dyDescent="0.3">
      <c r="A6" s="18"/>
      <c r="B6" s="39"/>
      <c r="C6" s="17" t="s">
        <v>186</v>
      </c>
      <c r="D6" s="18"/>
      <c r="E6" s="18"/>
      <c r="F6" s="18"/>
      <c r="G6" s="18"/>
    </row>
    <row r="7" spans="1:30" x14ac:dyDescent="0.3">
      <c r="A7" s="18"/>
      <c r="B7" s="40"/>
      <c r="C7" s="17" t="s">
        <v>16</v>
      </c>
      <c r="D7" s="18"/>
      <c r="E7" s="18"/>
      <c r="F7" s="18"/>
      <c r="G7" s="18"/>
      <c r="Z7" s="48"/>
      <c r="AA7" s="48"/>
      <c r="AB7" s="48"/>
      <c r="AC7" s="48"/>
      <c r="AD7" s="48"/>
    </row>
    <row r="8" spans="1:30" x14ac:dyDescent="0.3">
      <c r="A8" s="18">
        <v>3</v>
      </c>
      <c r="B8" s="17" t="s">
        <v>17</v>
      </c>
      <c r="C8" s="18"/>
      <c r="D8" s="18"/>
      <c r="E8" s="18"/>
      <c r="F8" s="18"/>
      <c r="G8" s="18"/>
      <c r="Z8" s="48"/>
      <c r="AA8" s="48"/>
      <c r="AB8" s="48"/>
      <c r="AC8" s="48"/>
      <c r="AD8" s="48"/>
    </row>
    <row r="9" spans="1:30" x14ac:dyDescent="0.3">
      <c r="A9" s="18">
        <v>4</v>
      </c>
      <c r="B9" s="17" t="s">
        <v>274</v>
      </c>
      <c r="C9" s="18"/>
      <c r="D9" s="18"/>
      <c r="E9" s="18"/>
      <c r="F9" s="18"/>
      <c r="G9" s="18"/>
      <c r="Z9" s="48"/>
      <c r="AA9" s="48"/>
      <c r="AB9" s="48"/>
      <c r="AC9" s="48"/>
      <c r="AD9" s="48"/>
    </row>
    <row r="10" spans="1:30" x14ac:dyDescent="0.3">
      <c r="A10" s="18">
        <v>5</v>
      </c>
      <c r="B10" s="41" t="s">
        <v>27</v>
      </c>
      <c r="C10" s="18"/>
      <c r="D10" s="18"/>
      <c r="E10" s="18"/>
      <c r="F10" s="18"/>
      <c r="G10" s="18"/>
      <c r="Z10" s="48"/>
      <c r="AA10" s="48"/>
      <c r="AB10" s="48"/>
      <c r="AC10" s="48"/>
      <c r="AD10" s="48"/>
    </row>
    <row r="11" spans="1:30" x14ac:dyDescent="0.3">
      <c r="A11" s="18"/>
      <c r="B11" s="18"/>
      <c r="C11" s="18"/>
      <c r="D11" s="18"/>
      <c r="E11" s="18"/>
      <c r="F11" s="18"/>
      <c r="G11" s="18"/>
      <c r="Z11" s="48"/>
      <c r="AA11" s="48"/>
      <c r="AB11" s="48"/>
      <c r="AC11" s="48"/>
      <c r="AD11" s="48"/>
    </row>
    <row r="12" spans="1:30" x14ac:dyDescent="0.3">
      <c r="A12" s="23" t="s">
        <v>19</v>
      </c>
      <c r="B12" s="18"/>
      <c r="C12" s="18"/>
      <c r="D12" s="18"/>
      <c r="E12" s="18"/>
      <c r="F12" s="18"/>
      <c r="G12" s="18"/>
    </row>
    <row r="13" spans="1:30" x14ac:dyDescent="0.3">
      <c r="A13" s="23"/>
      <c r="B13" s="173" t="s">
        <v>192</v>
      </c>
      <c r="C13" s="18"/>
      <c r="D13" s="18"/>
      <c r="E13" s="18"/>
      <c r="F13" s="18"/>
      <c r="G13" s="18"/>
    </row>
    <row r="14" spans="1:30" x14ac:dyDescent="0.3">
      <c r="A14" s="23"/>
      <c r="B14" s="17" t="s">
        <v>193</v>
      </c>
      <c r="C14" s="18"/>
      <c r="D14" s="18"/>
      <c r="E14" s="18"/>
      <c r="F14" s="18"/>
      <c r="G14" s="18"/>
    </row>
    <row r="15" spans="1:30" x14ac:dyDescent="0.3">
      <c r="A15" s="18"/>
      <c r="B15" s="42" t="s">
        <v>187</v>
      </c>
      <c r="C15" s="18"/>
      <c r="D15" s="18"/>
      <c r="E15" s="18"/>
      <c r="F15" s="18"/>
      <c r="G15" s="18"/>
    </row>
    <row r="16" spans="1:30" x14ac:dyDescent="0.3">
      <c r="A16" s="44"/>
      <c r="B16" s="143" t="s">
        <v>180</v>
      </c>
      <c r="C16" s="142"/>
      <c r="D16" s="142"/>
      <c r="E16" s="142"/>
      <c r="F16" s="44"/>
      <c r="G16" s="44"/>
    </row>
    <row r="17" spans="1:33" x14ac:dyDescent="0.3">
      <c r="A17" s="18"/>
      <c r="B17" s="42" t="s">
        <v>204</v>
      </c>
      <c r="C17" s="18"/>
      <c r="D17" s="18"/>
      <c r="E17" s="18"/>
      <c r="F17" s="18"/>
      <c r="G17" s="18"/>
    </row>
    <row r="18" spans="1:33" x14ac:dyDescent="0.3">
      <c r="A18" s="44"/>
      <c r="B18" s="143" t="s">
        <v>345</v>
      </c>
      <c r="C18" s="142"/>
      <c r="D18" s="142"/>
      <c r="E18" s="142"/>
      <c r="F18" s="44"/>
      <c r="G18" s="44"/>
    </row>
    <row r="19" spans="1:33" x14ac:dyDescent="0.3">
      <c r="A19" s="18"/>
      <c r="B19" s="43" t="s">
        <v>286</v>
      </c>
      <c r="C19" s="18"/>
      <c r="D19" s="18"/>
      <c r="E19" s="18"/>
      <c r="F19" s="18"/>
      <c r="G19" s="18"/>
    </row>
    <row r="20" spans="1:33" x14ac:dyDescent="0.3">
      <c r="A20" s="18"/>
      <c r="B20" s="143" t="s">
        <v>185</v>
      </c>
      <c r="C20" s="143"/>
      <c r="D20" s="143"/>
      <c r="E20" s="143"/>
      <c r="F20" s="18"/>
      <c r="G20" s="18"/>
    </row>
    <row r="21" spans="1:33" x14ac:dyDescent="0.3">
      <c r="A21" s="18"/>
      <c r="B21" s="143" t="s">
        <v>258</v>
      </c>
      <c r="C21" s="143"/>
      <c r="D21" s="143"/>
      <c r="E21" s="143"/>
      <c r="F21" s="18"/>
      <c r="G21" s="18"/>
    </row>
    <row r="22" spans="1:33" x14ac:dyDescent="0.3">
      <c r="A22" s="18"/>
      <c r="B22" s="168" t="s">
        <v>188</v>
      </c>
      <c r="C22" s="143"/>
      <c r="D22" s="143"/>
      <c r="E22" s="143"/>
      <c r="F22" s="18"/>
      <c r="G22" s="18"/>
    </row>
    <row r="23" spans="1:33" x14ac:dyDescent="0.3">
      <c r="A23" s="18"/>
      <c r="B23" s="168" t="s">
        <v>282</v>
      </c>
      <c r="C23" s="143"/>
      <c r="D23" s="143"/>
      <c r="E23" s="143"/>
      <c r="F23" s="18"/>
      <c r="G23" s="18"/>
    </row>
    <row r="24" spans="1:33" x14ac:dyDescent="0.3">
      <c r="A24" s="18"/>
      <c r="B24" s="168" t="s">
        <v>283</v>
      </c>
      <c r="C24" s="143"/>
      <c r="D24" s="143"/>
      <c r="E24" s="143"/>
      <c r="F24" s="18"/>
      <c r="G24" s="18"/>
    </row>
    <row r="25" spans="1:33" x14ac:dyDescent="0.3">
      <c r="A25" s="18"/>
      <c r="B25" s="168" t="s">
        <v>284</v>
      </c>
      <c r="C25" s="143"/>
      <c r="D25" s="143"/>
      <c r="E25" s="143"/>
      <c r="F25" s="18"/>
      <c r="G25" s="18"/>
    </row>
    <row r="26" spans="1:33" x14ac:dyDescent="0.3">
      <c r="A26" s="18"/>
      <c r="B26" s="168" t="s">
        <v>285</v>
      </c>
      <c r="C26" s="143"/>
      <c r="D26" s="143"/>
      <c r="E26" s="143"/>
      <c r="F26" s="18"/>
      <c r="G26" s="18"/>
    </row>
    <row r="27" spans="1:33" x14ac:dyDescent="0.3">
      <c r="A27" s="18"/>
      <c r="B27" s="333" t="s">
        <v>291</v>
      </c>
      <c r="C27" s="18"/>
      <c r="D27" s="18"/>
      <c r="E27" s="18"/>
      <c r="F27" s="18"/>
      <c r="G27" s="18"/>
      <c r="Z27" s="285"/>
      <c r="AA27" s="285"/>
      <c r="AB27" s="285"/>
      <c r="AC27" s="285"/>
      <c r="AD27" s="285"/>
      <c r="AE27" s="285"/>
      <c r="AF27" s="285"/>
      <c r="AG27" s="285"/>
    </row>
    <row r="28" spans="1:33" x14ac:dyDescent="0.3">
      <c r="A28" s="44"/>
      <c r="B28" s="143" t="s">
        <v>292</v>
      </c>
      <c r="C28" s="143"/>
      <c r="D28" s="143"/>
      <c r="E28" s="143"/>
      <c r="F28" s="44"/>
      <c r="G28" s="44"/>
      <c r="Z28" s="285"/>
      <c r="AA28" s="285"/>
      <c r="AB28" s="285"/>
      <c r="AC28" s="285"/>
      <c r="AD28" s="285"/>
      <c r="AE28" s="285"/>
      <c r="AF28" s="285"/>
      <c r="AG28" s="285"/>
    </row>
    <row r="29" spans="1:33" x14ac:dyDescent="0.3">
      <c r="A29" s="18"/>
      <c r="B29" s="333" t="s">
        <v>348</v>
      </c>
      <c r="C29" s="18"/>
      <c r="D29" s="18"/>
      <c r="E29" s="18"/>
      <c r="F29" s="18"/>
      <c r="G29" s="18"/>
      <c r="Z29" s="165"/>
      <c r="AA29" s="165"/>
      <c r="AB29" s="165"/>
      <c r="AC29" s="165"/>
      <c r="AD29" s="165"/>
      <c r="AE29" s="165"/>
      <c r="AF29" s="165"/>
      <c r="AG29" s="165"/>
    </row>
    <row r="30" spans="1:33" x14ac:dyDescent="0.3">
      <c r="A30" s="44"/>
      <c r="B30" s="143" t="s">
        <v>304</v>
      </c>
      <c r="C30" s="143"/>
      <c r="D30" s="143"/>
      <c r="E30" s="143"/>
      <c r="F30" s="44"/>
      <c r="G30" s="44"/>
      <c r="Z30" s="165"/>
      <c r="AA30" s="165"/>
      <c r="AB30" s="165"/>
      <c r="AC30" s="165"/>
      <c r="AD30" s="165"/>
      <c r="AE30" s="165"/>
      <c r="AF30" s="165"/>
      <c r="AG30" s="165"/>
    </row>
    <row r="31" spans="1:33" x14ac:dyDescent="0.3">
      <c r="A31" s="44"/>
      <c r="B31" s="143" t="s">
        <v>347</v>
      </c>
      <c r="C31" s="143"/>
      <c r="D31" s="143"/>
      <c r="E31" s="143"/>
      <c r="F31" s="44"/>
      <c r="G31" s="44"/>
      <c r="Z31" s="285"/>
      <c r="AA31" s="285"/>
      <c r="AB31" s="285"/>
      <c r="AC31" s="285"/>
      <c r="AD31" s="285"/>
      <c r="AE31" s="285"/>
      <c r="AF31" s="285"/>
      <c r="AG31" s="285"/>
    </row>
    <row r="32" spans="1:33" x14ac:dyDescent="0.3">
      <c r="A32" s="18"/>
      <c r="B32" s="333" t="s">
        <v>306</v>
      </c>
      <c r="C32" s="18"/>
      <c r="D32" s="18"/>
      <c r="E32" s="18"/>
      <c r="F32" s="18"/>
      <c r="G32" s="18"/>
      <c r="Z32" s="285"/>
      <c r="AA32" s="285"/>
      <c r="AB32" s="285"/>
      <c r="AC32" s="285"/>
      <c r="AD32" s="285"/>
      <c r="AE32" s="285"/>
      <c r="AF32" s="285"/>
      <c r="AG32" s="285"/>
    </row>
    <row r="33" spans="1:33" x14ac:dyDescent="0.3">
      <c r="A33" s="44"/>
      <c r="B33" s="143" t="s">
        <v>346</v>
      </c>
      <c r="C33" s="143"/>
      <c r="D33" s="143"/>
      <c r="E33" s="143"/>
      <c r="F33" s="44"/>
      <c r="G33" s="44"/>
      <c r="Z33" s="285"/>
      <c r="AA33" s="285"/>
      <c r="AB33" s="285"/>
      <c r="AC33" s="285"/>
      <c r="AD33" s="285"/>
      <c r="AE33" s="285"/>
      <c r="AF33" s="285"/>
      <c r="AG33" s="285"/>
    </row>
    <row r="34" spans="1:33" x14ac:dyDescent="0.3">
      <c r="A34" s="44"/>
      <c r="B34" s="143" t="s">
        <v>343</v>
      </c>
      <c r="C34" s="143"/>
      <c r="D34" s="143"/>
      <c r="E34" s="143"/>
      <c r="F34" s="44"/>
      <c r="G34" s="44"/>
      <c r="Z34" s="285"/>
      <c r="AA34" s="285"/>
      <c r="AB34" s="285"/>
      <c r="AC34" s="285"/>
      <c r="AD34" s="285"/>
      <c r="AE34" s="285"/>
      <c r="AF34" s="285"/>
      <c r="AG34" s="285"/>
    </row>
    <row r="35" spans="1:33" x14ac:dyDescent="0.3">
      <c r="A35" s="18"/>
      <c r="B35" s="372" t="s">
        <v>20</v>
      </c>
      <c r="C35" s="18"/>
      <c r="D35" s="18"/>
      <c r="E35" s="18"/>
      <c r="F35" s="18"/>
      <c r="G35" s="18"/>
      <c r="Z35" s="126"/>
      <c r="AA35" s="126"/>
      <c r="AB35" s="126"/>
      <c r="AC35" s="126"/>
      <c r="AD35" s="126"/>
      <c r="AE35" s="126"/>
      <c r="AF35" s="126"/>
      <c r="AG35" s="126"/>
    </row>
    <row r="36" spans="1:33" ht="28.2" customHeight="1" x14ac:dyDescent="0.3">
      <c r="A36" s="18"/>
      <c r="B36" s="412" t="s">
        <v>305</v>
      </c>
      <c r="C36" s="412"/>
      <c r="D36" s="412"/>
      <c r="E36" s="412"/>
      <c r="F36" s="412"/>
      <c r="G36" s="412"/>
      <c r="H36" s="412"/>
      <c r="I36" s="412"/>
      <c r="Z36" s="126"/>
      <c r="AA36" s="126"/>
      <c r="AB36" s="126"/>
      <c r="AC36" s="126"/>
      <c r="AD36" s="126"/>
      <c r="AE36" s="126"/>
      <c r="AF36" s="126"/>
      <c r="AG36" s="126"/>
    </row>
    <row r="37" spans="1:33" x14ac:dyDescent="0.3">
      <c r="A37" s="18"/>
      <c r="B37" s="18"/>
      <c r="C37" s="18"/>
      <c r="D37" s="18"/>
      <c r="E37" s="18"/>
      <c r="F37" s="18"/>
      <c r="G37" s="18"/>
      <c r="Z37" s="126"/>
      <c r="AA37" s="126"/>
      <c r="AB37" s="126"/>
      <c r="AC37" s="126"/>
      <c r="AD37" s="126"/>
      <c r="AE37" s="126"/>
      <c r="AF37" s="126"/>
      <c r="AG37" s="126"/>
    </row>
    <row r="38" spans="1:33" x14ac:dyDescent="0.3">
      <c r="A38" s="23" t="s">
        <v>21</v>
      </c>
      <c r="B38" s="18"/>
      <c r="C38" s="18"/>
      <c r="D38" s="18"/>
      <c r="E38" s="18"/>
      <c r="F38" s="18"/>
      <c r="G38" s="18"/>
      <c r="Z38" s="126"/>
      <c r="AA38" s="126"/>
      <c r="AB38" s="126"/>
      <c r="AC38" s="126"/>
      <c r="AD38" s="126"/>
      <c r="AE38" s="126"/>
      <c r="AF38" s="126"/>
      <c r="AG38" s="126"/>
    </row>
    <row r="39" spans="1:33" x14ac:dyDescent="0.3">
      <c r="A39" s="18"/>
      <c r="B39" s="18"/>
      <c r="C39" s="18"/>
      <c r="D39" s="18"/>
      <c r="E39" s="18"/>
      <c r="F39" s="18"/>
      <c r="G39" s="18"/>
      <c r="Z39" s="126"/>
      <c r="AA39" s="126"/>
      <c r="AB39" s="126"/>
      <c r="AC39" s="126"/>
      <c r="AD39" s="126"/>
      <c r="AE39" s="126"/>
      <c r="AF39" s="126"/>
      <c r="AG39" s="126"/>
    </row>
    <row r="40" spans="1:33" x14ac:dyDescent="0.3">
      <c r="A40" s="18"/>
      <c r="B40" s="45" t="s">
        <v>25</v>
      </c>
      <c r="C40" s="18"/>
      <c r="D40" s="18"/>
      <c r="E40" s="18"/>
      <c r="F40" s="18"/>
      <c r="G40" s="18"/>
      <c r="Z40" s="126"/>
      <c r="AA40" s="126"/>
      <c r="AB40" s="126"/>
      <c r="AC40" s="126"/>
      <c r="AD40" s="126"/>
      <c r="AE40" s="126"/>
      <c r="AF40" s="126"/>
      <c r="AG40" s="126"/>
    </row>
    <row r="41" spans="1:33" x14ac:dyDescent="0.3">
      <c r="A41" s="18"/>
      <c r="B41" s="146" t="s">
        <v>33</v>
      </c>
      <c r="C41" s="146"/>
      <c r="D41" s="18"/>
      <c r="E41" s="18"/>
      <c r="F41" s="18"/>
      <c r="G41" s="18"/>
      <c r="Z41" s="126"/>
      <c r="AA41" s="126"/>
      <c r="AB41" s="126"/>
      <c r="AC41" s="126"/>
      <c r="AD41" s="126"/>
      <c r="AE41" s="126"/>
      <c r="AF41" s="126"/>
      <c r="AG41" s="126"/>
    </row>
    <row r="42" spans="1:33" x14ac:dyDescent="0.3">
      <c r="A42" s="18"/>
      <c r="B42" s="25" t="s">
        <v>26</v>
      </c>
      <c r="D42" s="18"/>
      <c r="E42" s="18"/>
      <c r="F42" s="18"/>
      <c r="G42" s="18"/>
      <c r="Z42" s="126"/>
      <c r="AA42" s="126"/>
      <c r="AB42" s="126"/>
      <c r="AC42" s="126"/>
      <c r="AD42" s="126"/>
      <c r="AE42" s="126"/>
      <c r="AF42" s="126"/>
      <c r="AG42" s="126"/>
    </row>
    <row r="43" spans="1:33" x14ac:dyDescent="0.3">
      <c r="A43" s="18"/>
      <c r="B43" s="18"/>
      <c r="C43" s="18"/>
      <c r="D43" s="18"/>
      <c r="E43" s="18"/>
      <c r="F43" s="18"/>
      <c r="G43" s="18"/>
      <c r="Z43" s="126"/>
      <c r="AA43" s="126"/>
      <c r="AB43" s="126"/>
      <c r="AC43" s="126"/>
      <c r="AD43" s="126"/>
      <c r="AE43" s="126"/>
      <c r="AF43" s="126"/>
      <c r="AG43" s="126"/>
    </row>
    <row r="44" spans="1:33" x14ac:dyDescent="0.3">
      <c r="A44" s="18"/>
      <c r="B44" s="47" t="s">
        <v>22</v>
      </c>
      <c r="C44" s="47" t="s">
        <v>23</v>
      </c>
      <c r="D44" s="47" t="s">
        <v>24</v>
      </c>
      <c r="E44" s="137"/>
      <c r="F44" s="276"/>
      <c r="G44" s="276"/>
      <c r="H44" s="137"/>
      <c r="Z44" s="126"/>
      <c r="AA44" s="126"/>
      <c r="AB44" s="126"/>
      <c r="AC44" s="126"/>
      <c r="AD44" s="126"/>
      <c r="AE44" s="126"/>
      <c r="AF44" s="126"/>
      <c r="AG44" s="126"/>
    </row>
    <row r="45" spans="1:33" x14ac:dyDescent="0.3">
      <c r="A45" s="18"/>
      <c r="B45" s="277" t="s">
        <v>171</v>
      </c>
      <c r="C45" s="30" t="s">
        <v>187</v>
      </c>
      <c r="D45" s="234" t="s">
        <v>351</v>
      </c>
      <c r="E45" s="278"/>
      <c r="F45" s="279"/>
      <c r="G45" s="279"/>
      <c r="H45" s="278"/>
      <c r="Z45" s="126"/>
      <c r="AA45" s="126"/>
      <c r="AB45" s="126"/>
      <c r="AC45" s="126"/>
      <c r="AD45" s="126"/>
      <c r="AE45" s="126"/>
      <c r="AF45" s="126"/>
      <c r="AG45" s="126"/>
    </row>
    <row r="46" spans="1:33" x14ac:dyDescent="0.3">
      <c r="A46" s="18"/>
      <c r="B46" s="277" t="s">
        <v>177</v>
      </c>
      <c r="C46" s="30" t="s">
        <v>187</v>
      </c>
      <c r="D46" s="234" t="s">
        <v>259</v>
      </c>
      <c r="E46" s="278"/>
      <c r="F46" s="279"/>
      <c r="G46" s="279"/>
      <c r="H46" s="278"/>
      <c r="Z46" s="126"/>
      <c r="AA46" s="126"/>
      <c r="AB46" s="126"/>
      <c r="AC46" s="126"/>
      <c r="AD46" s="126"/>
      <c r="AE46" s="126"/>
      <c r="AF46" s="126"/>
      <c r="AG46" s="126"/>
    </row>
    <row r="47" spans="1:33" x14ac:dyDescent="0.3">
      <c r="A47" s="18"/>
      <c r="B47" s="413" t="s">
        <v>196</v>
      </c>
      <c r="C47" s="414" t="s">
        <v>187</v>
      </c>
      <c r="D47" s="281" t="s">
        <v>318</v>
      </c>
      <c r="E47" s="209"/>
      <c r="F47" s="282"/>
      <c r="G47" s="282"/>
      <c r="H47" s="209"/>
      <c r="Z47" s="126"/>
      <c r="AA47" s="126"/>
      <c r="AB47" s="126"/>
      <c r="AC47" s="126"/>
      <c r="AD47" s="126"/>
      <c r="AE47" s="126"/>
      <c r="AF47" s="126"/>
      <c r="AG47" s="126"/>
    </row>
    <row r="48" spans="1:33" x14ac:dyDescent="0.3">
      <c r="A48" s="18"/>
      <c r="B48" s="413"/>
      <c r="C48" s="414"/>
      <c r="D48" s="283" t="s">
        <v>319</v>
      </c>
      <c r="E48" s="137"/>
      <c r="F48" s="276"/>
      <c r="G48" s="276"/>
      <c r="H48" s="137"/>
      <c r="Z48" s="126"/>
      <c r="AA48" s="126"/>
      <c r="AB48" s="126"/>
      <c r="AC48" s="126"/>
      <c r="AD48" s="126"/>
      <c r="AE48" s="126"/>
      <c r="AF48" s="126"/>
      <c r="AG48" s="126"/>
    </row>
    <row r="49" spans="1:33" x14ac:dyDescent="0.3">
      <c r="A49" s="18"/>
      <c r="B49" s="277" t="s">
        <v>210</v>
      </c>
      <c r="C49" s="30" t="s">
        <v>187</v>
      </c>
      <c r="D49" s="234" t="s">
        <v>260</v>
      </c>
      <c r="E49" s="278"/>
      <c r="F49" s="279"/>
      <c r="G49" s="279"/>
      <c r="H49" s="278"/>
      <c r="Z49" s="126"/>
      <c r="AA49" s="126"/>
      <c r="AB49" s="126"/>
      <c r="AC49" s="126"/>
      <c r="AD49" s="126"/>
      <c r="AE49" s="126"/>
      <c r="AF49" s="126"/>
      <c r="AG49" s="126"/>
    </row>
    <row r="50" spans="1:33" x14ac:dyDescent="0.3">
      <c r="A50" s="18"/>
      <c r="B50" s="277" t="s">
        <v>211</v>
      </c>
      <c r="C50" s="30" t="s">
        <v>187</v>
      </c>
      <c r="D50" s="234" t="s">
        <v>261</v>
      </c>
      <c r="E50" s="278"/>
      <c r="F50" s="279"/>
      <c r="G50" s="279"/>
      <c r="H50" s="278"/>
      <c r="Z50" s="126"/>
      <c r="AA50" s="126"/>
      <c r="AB50" s="126"/>
      <c r="AC50" s="126"/>
      <c r="AD50" s="126"/>
      <c r="AE50" s="126"/>
      <c r="AF50" s="126"/>
      <c r="AG50" s="126"/>
    </row>
    <row r="51" spans="1:33" x14ac:dyDescent="0.3">
      <c r="A51" s="18"/>
      <c r="B51" s="277" t="s">
        <v>212</v>
      </c>
      <c r="C51" s="30" t="s">
        <v>187</v>
      </c>
      <c r="D51" s="234" t="s">
        <v>262</v>
      </c>
      <c r="E51" s="278"/>
      <c r="F51" s="279"/>
      <c r="G51" s="279"/>
      <c r="H51" s="278"/>
      <c r="Z51" s="126"/>
      <c r="AA51" s="126"/>
      <c r="AB51" s="126"/>
      <c r="AC51" s="126"/>
      <c r="AD51" s="126"/>
      <c r="AE51" s="126"/>
      <c r="AF51" s="126"/>
      <c r="AG51" s="126"/>
    </row>
    <row r="52" spans="1:33" x14ac:dyDescent="0.3">
      <c r="A52" s="18"/>
      <c r="B52" s="280" t="s">
        <v>263</v>
      </c>
      <c r="C52" s="30" t="s">
        <v>204</v>
      </c>
      <c r="D52" s="30" t="s">
        <v>264</v>
      </c>
      <c r="E52" s="278"/>
      <c r="F52" s="279"/>
      <c r="G52" s="279"/>
      <c r="H52" s="278"/>
      <c r="Z52" s="165"/>
      <c r="AA52" s="165"/>
      <c r="AB52" s="165"/>
      <c r="AC52" s="165"/>
      <c r="AD52" s="165"/>
      <c r="AE52" s="165"/>
      <c r="AF52" s="165"/>
      <c r="AG52" s="165"/>
    </row>
    <row r="53" spans="1:33" x14ac:dyDescent="0.3">
      <c r="A53" s="18"/>
      <c r="B53" s="413" t="s">
        <v>156</v>
      </c>
      <c r="C53" s="414" t="s">
        <v>204</v>
      </c>
      <c r="D53" s="240" t="s">
        <v>349</v>
      </c>
      <c r="E53" s="209"/>
      <c r="F53" s="282"/>
      <c r="G53" s="282"/>
      <c r="H53" s="209"/>
      <c r="Z53" s="126"/>
      <c r="AA53" s="126"/>
      <c r="AB53" s="126"/>
      <c r="AC53" s="126"/>
      <c r="AD53" s="126"/>
      <c r="AE53" s="126"/>
      <c r="AF53" s="126"/>
      <c r="AG53" s="126"/>
    </row>
    <row r="54" spans="1:33" x14ac:dyDescent="0.3">
      <c r="A54" s="18"/>
      <c r="B54" s="413"/>
      <c r="C54" s="414"/>
      <c r="D54" s="243" t="s">
        <v>350</v>
      </c>
      <c r="E54" s="137"/>
      <c r="F54" s="276"/>
      <c r="G54" s="276"/>
      <c r="H54" s="137"/>
      <c r="Z54" s="126"/>
      <c r="AA54" s="126"/>
      <c r="AB54" s="126"/>
      <c r="AC54" s="126"/>
      <c r="AD54" s="126"/>
      <c r="AE54" s="126"/>
      <c r="AF54" s="126"/>
      <c r="AG54" s="126"/>
    </row>
    <row r="55" spans="1:33" x14ac:dyDescent="0.3">
      <c r="A55" s="22"/>
      <c r="B55" s="18"/>
      <c r="C55" s="18"/>
      <c r="D55" s="18"/>
      <c r="E55" s="18"/>
      <c r="F55" s="18"/>
      <c r="G55" s="18"/>
      <c r="Z55" s="165"/>
      <c r="AA55" s="165"/>
      <c r="AB55" s="165"/>
      <c r="AC55" s="165"/>
      <c r="AD55" s="165"/>
      <c r="AE55" s="165"/>
      <c r="AF55" s="165"/>
      <c r="AG55" s="165"/>
    </row>
    <row r="56" spans="1:33" x14ac:dyDescent="0.3">
      <c r="A56" s="18"/>
      <c r="B56" s="45" t="s">
        <v>29</v>
      </c>
      <c r="C56" s="18"/>
      <c r="D56" s="18"/>
      <c r="E56" s="18"/>
      <c r="F56" s="18"/>
      <c r="G56" s="18"/>
      <c r="Z56" s="165"/>
      <c r="AA56" s="165"/>
      <c r="AB56" s="165"/>
      <c r="AC56" s="165"/>
      <c r="AD56" s="165"/>
      <c r="AE56" s="165"/>
      <c r="AF56" s="165"/>
      <c r="AG56" s="165"/>
    </row>
    <row r="57" spans="1:33" x14ac:dyDescent="0.3">
      <c r="A57" s="18"/>
      <c r="B57" s="167" t="s">
        <v>183</v>
      </c>
      <c r="C57" s="318">
        <v>1.03</v>
      </c>
      <c r="D57" s="17" t="s">
        <v>255</v>
      </c>
      <c r="F57" s="18"/>
      <c r="G57" s="18"/>
      <c r="H57" s="37"/>
      <c r="I57" s="37"/>
      <c r="J57" s="37"/>
      <c r="K57" s="37"/>
      <c r="L57" s="37"/>
      <c r="M57" s="37"/>
      <c r="N57" s="37"/>
      <c r="O57" s="37"/>
      <c r="P57" s="37"/>
      <c r="Q57" s="103"/>
      <c r="R57" s="103"/>
      <c r="S57" s="101"/>
      <c r="T57" s="101"/>
      <c r="U57" s="101"/>
      <c r="V57" s="72"/>
      <c r="W57" s="103"/>
      <c r="X57" s="103"/>
      <c r="Y57" s="104"/>
      <c r="Z57" s="165"/>
      <c r="AA57" s="165"/>
      <c r="AB57" s="165"/>
      <c r="AC57" s="165"/>
      <c r="AD57" s="165"/>
      <c r="AE57" s="165"/>
      <c r="AF57" s="165"/>
      <c r="AG57" s="165"/>
    </row>
    <row r="58" spans="1:33" x14ac:dyDescent="0.3">
      <c r="A58" s="18"/>
      <c r="B58" s="166" t="s">
        <v>30</v>
      </c>
      <c r="C58" s="319">
        <v>42979</v>
      </c>
      <c r="D58" s="17" t="s">
        <v>253</v>
      </c>
      <c r="F58" s="18"/>
      <c r="G58" s="18"/>
      <c r="H58" s="37"/>
      <c r="I58" s="37"/>
      <c r="J58" s="37"/>
      <c r="K58" s="37"/>
      <c r="L58" s="37"/>
      <c r="M58" s="37"/>
      <c r="N58" s="37"/>
      <c r="O58" s="37"/>
      <c r="P58" s="37"/>
      <c r="Q58" s="103"/>
      <c r="R58" s="103"/>
      <c r="S58" s="101"/>
      <c r="T58" s="101"/>
      <c r="U58" s="101"/>
      <c r="V58" s="72"/>
      <c r="W58" s="103"/>
      <c r="X58" s="103"/>
      <c r="Y58" s="104"/>
      <c r="Z58" s="126"/>
      <c r="AA58" s="126"/>
      <c r="AB58" s="126"/>
      <c r="AC58" s="126"/>
      <c r="AD58" s="126"/>
      <c r="AE58" s="126"/>
      <c r="AF58" s="126"/>
      <c r="AG58" s="126"/>
    </row>
    <row r="59" spans="1:33" x14ac:dyDescent="0.3">
      <c r="A59" s="18"/>
      <c r="B59" s="167" t="s">
        <v>31</v>
      </c>
      <c r="C59" s="320">
        <v>10823</v>
      </c>
      <c r="D59" s="17" t="s">
        <v>252</v>
      </c>
      <c r="F59" s="18"/>
      <c r="G59" s="18"/>
      <c r="H59" s="37"/>
      <c r="I59" s="37"/>
      <c r="J59" s="37"/>
      <c r="K59" s="37"/>
      <c r="L59" s="37"/>
      <c r="M59" s="37"/>
      <c r="N59" s="37"/>
      <c r="O59" s="37"/>
      <c r="P59" s="37"/>
      <c r="Q59" s="103"/>
      <c r="R59" s="103"/>
      <c r="S59" s="101"/>
      <c r="T59" s="101"/>
      <c r="U59" s="101"/>
      <c r="V59" s="72"/>
      <c r="W59" s="103"/>
      <c r="X59" s="103"/>
      <c r="Y59" s="104"/>
      <c r="Z59" s="126"/>
      <c r="AA59" s="126"/>
      <c r="AB59" s="126"/>
      <c r="AC59" s="126"/>
      <c r="AD59" s="126"/>
      <c r="AE59" s="126"/>
      <c r="AF59" s="126"/>
      <c r="AG59" s="126"/>
    </row>
    <row r="60" spans="1:33" x14ac:dyDescent="0.3">
      <c r="A60" s="18"/>
      <c r="B60" s="166" t="s">
        <v>150</v>
      </c>
      <c r="C60" s="321">
        <v>0.15</v>
      </c>
      <c r="D60" s="17" t="s">
        <v>152</v>
      </c>
      <c r="F60" s="18"/>
      <c r="G60" s="18"/>
      <c r="H60" s="37"/>
      <c r="I60" s="37"/>
      <c r="J60" s="37"/>
      <c r="K60" s="37"/>
      <c r="L60" s="37"/>
      <c r="M60" s="37"/>
      <c r="N60" s="37"/>
      <c r="O60" s="37"/>
      <c r="P60" s="37"/>
      <c r="Q60" s="103"/>
      <c r="R60" s="103"/>
      <c r="S60" s="101"/>
      <c r="T60" s="101"/>
      <c r="U60" s="101"/>
      <c r="V60" s="72"/>
      <c r="W60" s="103"/>
      <c r="X60" s="103"/>
      <c r="Y60" s="104"/>
      <c r="Z60" s="126"/>
      <c r="AA60" s="126"/>
      <c r="AB60" s="126"/>
      <c r="AC60" s="126"/>
      <c r="AD60" s="126"/>
      <c r="AE60" s="126"/>
      <c r="AF60" s="126"/>
      <c r="AG60" s="126"/>
    </row>
    <row r="61" spans="1:33" x14ac:dyDescent="0.3">
      <c r="A61" s="18"/>
      <c r="B61" s="167" t="s">
        <v>151</v>
      </c>
      <c r="C61" s="321">
        <v>0.1</v>
      </c>
      <c r="D61" s="17" t="s">
        <v>153</v>
      </c>
      <c r="F61" s="18"/>
      <c r="G61" s="18"/>
      <c r="H61" s="37"/>
      <c r="I61" s="37"/>
      <c r="J61" s="37"/>
      <c r="K61" s="37"/>
      <c r="L61" s="37"/>
      <c r="M61" s="37"/>
      <c r="N61" s="37"/>
      <c r="O61" s="37"/>
      <c r="P61" s="37"/>
      <c r="Q61" s="103"/>
      <c r="R61" s="103"/>
      <c r="S61" s="101"/>
      <c r="T61" s="101"/>
      <c r="U61" s="101"/>
      <c r="V61" s="72"/>
      <c r="W61" s="103"/>
      <c r="X61" s="103"/>
      <c r="Y61" s="104"/>
      <c r="Z61" s="126"/>
      <c r="AA61" s="126"/>
      <c r="AB61" s="126"/>
      <c r="AC61" s="126"/>
      <c r="AD61" s="126"/>
      <c r="AE61" s="126"/>
      <c r="AF61" s="126"/>
      <c r="AG61" s="126"/>
    </row>
    <row r="62" spans="1:33" x14ac:dyDescent="0.3">
      <c r="A62" s="18"/>
      <c r="B62" s="166" t="s">
        <v>173</v>
      </c>
      <c r="C62" s="322">
        <v>42979</v>
      </c>
      <c r="D62" s="17" t="s">
        <v>254</v>
      </c>
      <c r="F62" s="18"/>
      <c r="G62" s="18"/>
      <c r="H62" s="37"/>
      <c r="I62" s="37"/>
      <c r="J62" s="37"/>
      <c r="K62" s="37"/>
      <c r="L62" s="37"/>
      <c r="M62" s="37"/>
      <c r="N62" s="37"/>
      <c r="O62" s="37"/>
      <c r="P62" s="37"/>
      <c r="Q62" s="103"/>
      <c r="R62" s="103"/>
      <c r="S62" s="101"/>
      <c r="T62" s="101"/>
      <c r="U62" s="101"/>
      <c r="V62" s="72"/>
      <c r="W62" s="103"/>
      <c r="X62" s="103"/>
      <c r="Y62" s="104"/>
    </row>
    <row r="63" spans="1:33" x14ac:dyDescent="0.3">
      <c r="A63" s="18"/>
      <c r="B63" s="167" t="s">
        <v>170</v>
      </c>
      <c r="C63" s="323">
        <v>10823</v>
      </c>
      <c r="D63" s="17" t="s">
        <v>184</v>
      </c>
      <c r="F63" s="18"/>
      <c r="G63" s="18"/>
      <c r="H63" s="37"/>
      <c r="I63" s="37"/>
      <c r="J63" s="37"/>
      <c r="K63" s="37"/>
      <c r="L63" s="37"/>
      <c r="M63" s="37"/>
      <c r="N63" s="37"/>
      <c r="O63" s="37"/>
      <c r="P63" s="37"/>
      <c r="Q63" s="103"/>
      <c r="R63" s="103"/>
      <c r="S63" s="101"/>
      <c r="T63" s="101"/>
      <c r="U63" s="101"/>
      <c r="V63" s="72"/>
      <c r="W63" s="103"/>
      <c r="X63" s="103"/>
      <c r="Y63" s="104"/>
    </row>
    <row r="64" spans="1:33" ht="15" customHeight="1" x14ac:dyDescent="0.3">
      <c r="A64" s="101"/>
      <c r="B64" s="230"/>
      <c r="C64" s="310"/>
      <c r="D64" s="231"/>
      <c r="E64" s="69"/>
      <c r="F64" s="70"/>
      <c r="G64" s="70"/>
      <c r="H64" s="37"/>
      <c r="I64" s="37"/>
      <c r="J64" s="37"/>
      <c r="K64" s="37"/>
      <c r="L64" s="37"/>
      <c r="M64" s="37"/>
      <c r="N64" s="37"/>
      <c r="O64" s="37"/>
      <c r="P64" s="37"/>
      <c r="Q64" s="103"/>
      <c r="R64" s="103"/>
      <c r="S64" s="101"/>
      <c r="T64" s="101"/>
      <c r="U64" s="101"/>
      <c r="V64" s="72"/>
      <c r="W64" s="103"/>
      <c r="X64" s="103"/>
      <c r="Y64" s="104"/>
    </row>
    <row r="65" spans="1:25" ht="15" customHeight="1" x14ac:dyDescent="0.3">
      <c r="A65" s="101"/>
      <c r="B65" s="45" t="s">
        <v>280</v>
      </c>
      <c r="F65" s="415" t="s">
        <v>320</v>
      </c>
      <c r="G65" s="415"/>
      <c r="H65" s="37"/>
      <c r="I65" s="37"/>
      <c r="J65" s="37"/>
      <c r="K65" s="37"/>
      <c r="L65" s="37"/>
      <c r="M65" s="37"/>
      <c r="N65" s="37"/>
      <c r="O65" s="37"/>
      <c r="P65" s="37"/>
      <c r="Q65" s="103"/>
      <c r="R65" s="103"/>
      <c r="S65" s="101"/>
      <c r="T65" s="101"/>
      <c r="U65" s="101"/>
      <c r="V65" s="72"/>
      <c r="W65" s="103"/>
      <c r="X65" s="103"/>
      <c r="Y65" s="104"/>
    </row>
    <row r="66" spans="1:25" ht="15" customHeight="1" x14ac:dyDescent="0.3">
      <c r="A66" s="101"/>
      <c r="B66" s="179" t="s">
        <v>279</v>
      </c>
      <c r="C66" s="384" t="s">
        <v>278</v>
      </c>
      <c r="D66" s="383" t="s">
        <v>164</v>
      </c>
      <c r="E66" s="383" t="s">
        <v>165</v>
      </c>
      <c r="F66" s="383" t="s">
        <v>321</v>
      </c>
      <c r="G66" s="383" t="s">
        <v>322</v>
      </c>
      <c r="H66" s="37"/>
      <c r="I66" s="37"/>
      <c r="J66" s="37"/>
      <c r="K66" s="37"/>
      <c r="L66" s="37"/>
      <c r="M66" s="37"/>
      <c r="N66" s="37"/>
      <c r="O66" s="37"/>
      <c r="P66" s="37"/>
      <c r="Q66" s="103"/>
      <c r="R66" s="103"/>
      <c r="S66" s="101"/>
      <c r="T66" s="101"/>
      <c r="U66" s="101"/>
      <c r="V66" s="72"/>
      <c r="W66" s="103"/>
      <c r="X66" s="103"/>
      <c r="Y66" s="104"/>
    </row>
    <row r="67" spans="1:25" ht="15" customHeight="1" x14ac:dyDescent="0.3">
      <c r="A67" s="101"/>
      <c r="B67" s="311" t="s">
        <v>218</v>
      </c>
      <c r="C67" s="312">
        <v>1</v>
      </c>
      <c r="D67" s="385">
        <f>INDEX('Stakeholder Categories'!C$3:C$7,MATCH(README!$C67,'Stakeholder Categories'!$A$3:$A$7,0))</f>
        <v>0.66700000000000004</v>
      </c>
      <c r="E67" s="385">
        <f>INDEX('Stakeholder Categories'!D$3:D$7,MATCH(README!$C67,'Stakeholder Categories'!$A$3:$A$7,0))</f>
        <v>0.33299999999999996</v>
      </c>
      <c r="F67" s="313">
        <v>0.42</v>
      </c>
      <c r="G67" s="313">
        <v>0.25</v>
      </c>
      <c r="H67" s="37"/>
      <c r="I67" s="37"/>
      <c r="J67" s="37"/>
      <c r="K67" s="37"/>
      <c r="L67" s="37"/>
      <c r="M67" s="37"/>
      <c r="N67" s="37"/>
      <c r="O67" s="37"/>
      <c r="P67" s="37"/>
      <c r="Q67" s="103"/>
      <c r="R67" s="103"/>
      <c r="S67" s="101"/>
      <c r="T67" s="101"/>
      <c r="U67" s="101"/>
      <c r="V67" s="72"/>
      <c r="W67" s="103"/>
      <c r="X67" s="103"/>
      <c r="Y67" s="104"/>
    </row>
    <row r="68" spans="1:25" ht="15" customHeight="1" x14ac:dyDescent="0.3">
      <c r="A68" s="101"/>
      <c r="B68" s="311" t="s">
        <v>163</v>
      </c>
      <c r="C68" s="312">
        <v>1</v>
      </c>
      <c r="D68" s="385">
        <f>INDEX('Stakeholder Categories'!C$3:C$7,MATCH(README!$C68,'Stakeholder Categories'!$A$3:$A$7,0))</f>
        <v>0.66700000000000004</v>
      </c>
      <c r="E68" s="385">
        <f>INDEX('Stakeholder Categories'!D$3:D$7,MATCH(README!$C68,'Stakeholder Categories'!$A$3:$A$7,0))</f>
        <v>0.33299999999999996</v>
      </c>
      <c r="F68" s="313"/>
      <c r="G68" s="313"/>
      <c r="H68" s="37"/>
      <c r="I68" s="37"/>
      <c r="J68" s="37"/>
      <c r="K68" s="37"/>
      <c r="L68" s="37"/>
      <c r="M68" s="37"/>
      <c r="N68" s="37"/>
      <c r="O68" s="37"/>
      <c r="P68" s="37"/>
      <c r="Q68" s="103"/>
      <c r="R68" s="103"/>
      <c r="S68" s="101"/>
      <c r="T68" s="101"/>
      <c r="U68" s="101"/>
      <c r="V68" s="72"/>
      <c r="W68" s="103"/>
      <c r="X68" s="103"/>
      <c r="Y68" s="104"/>
    </row>
    <row r="69" spans="1:25" ht="15" customHeight="1" x14ac:dyDescent="0.3">
      <c r="A69" s="101"/>
      <c r="B69" s="311" t="s">
        <v>138</v>
      </c>
      <c r="C69" s="312">
        <v>1</v>
      </c>
      <c r="D69" s="385">
        <f>INDEX('Stakeholder Categories'!C$3:C$7,MATCH(README!$C69,'Stakeholder Categories'!$A$3:$A$7,0))</f>
        <v>0.66700000000000004</v>
      </c>
      <c r="E69" s="385">
        <f>INDEX('Stakeholder Categories'!D$3:D$7,MATCH(README!$C69,'Stakeholder Categories'!$A$3:$A$7,0))</f>
        <v>0.33299999999999996</v>
      </c>
      <c r="F69" s="313"/>
      <c r="G69" s="313"/>
      <c r="H69" s="37"/>
      <c r="I69" s="37"/>
      <c r="J69" s="37"/>
      <c r="K69" s="37"/>
      <c r="L69" s="37"/>
      <c r="M69" s="37"/>
      <c r="N69" s="37"/>
      <c r="O69" s="37"/>
      <c r="P69" s="37"/>
      <c r="Q69" s="103"/>
      <c r="R69" s="103"/>
      <c r="S69" s="101"/>
      <c r="T69" s="101"/>
      <c r="U69" s="101"/>
      <c r="V69" s="72"/>
      <c r="W69" s="103"/>
      <c r="X69" s="103"/>
      <c r="Y69" s="104"/>
    </row>
    <row r="70" spans="1:25" ht="15" customHeight="1" x14ac:dyDescent="0.3">
      <c r="A70" s="101"/>
      <c r="B70" s="311" t="s">
        <v>219</v>
      </c>
      <c r="C70" s="312">
        <v>2</v>
      </c>
      <c r="D70" s="385">
        <f>INDEX('Stakeholder Categories'!C$3:C$7,MATCH(README!$C70,'Stakeholder Categories'!$A$3:$A$7,0))</f>
        <v>0.67700000000000005</v>
      </c>
      <c r="E70" s="385">
        <f>INDEX('Stakeholder Categories'!D$3:D$7,MATCH(README!$C70,'Stakeholder Categories'!$A$3:$A$7,0))</f>
        <v>0.32299999999999995</v>
      </c>
      <c r="F70" s="313"/>
      <c r="G70" s="313"/>
      <c r="H70" s="37"/>
      <c r="I70" s="37"/>
      <c r="J70" s="37"/>
      <c r="K70" s="37"/>
      <c r="L70" s="37"/>
      <c r="M70" s="37"/>
      <c r="N70" s="37"/>
      <c r="O70" s="37"/>
      <c r="P70" s="37"/>
      <c r="Q70" s="103"/>
      <c r="R70" s="103"/>
      <c r="S70" s="101"/>
      <c r="T70" s="101"/>
      <c r="U70" s="101"/>
      <c r="V70" s="72"/>
      <c r="W70" s="103"/>
      <c r="X70" s="103"/>
      <c r="Y70" s="104"/>
    </row>
    <row r="71" spans="1:25" ht="15" customHeight="1" x14ac:dyDescent="0.3">
      <c r="A71" s="101"/>
      <c r="B71" s="311" t="s">
        <v>96</v>
      </c>
      <c r="C71" s="312">
        <v>1</v>
      </c>
      <c r="D71" s="385">
        <f>INDEX('Stakeholder Categories'!C$3:C$7,MATCH(README!$C71,'Stakeholder Categories'!$A$3:$A$7,0))</f>
        <v>0.66700000000000004</v>
      </c>
      <c r="E71" s="385">
        <f>INDEX('Stakeholder Categories'!D$3:D$7,MATCH(README!$C71,'Stakeholder Categories'!$A$3:$A$7,0))</f>
        <v>0.33299999999999996</v>
      </c>
      <c r="F71" s="313"/>
      <c r="G71" s="313"/>
      <c r="H71" s="37"/>
      <c r="I71" s="37"/>
      <c r="J71" s="37"/>
      <c r="K71" s="37"/>
      <c r="L71" s="37"/>
      <c r="M71" s="37"/>
      <c r="N71" s="37"/>
      <c r="O71" s="37"/>
      <c r="P71" s="37"/>
      <c r="Q71" s="103"/>
      <c r="R71" s="103"/>
      <c r="S71" s="101"/>
      <c r="T71" s="101"/>
      <c r="U71" s="101"/>
      <c r="V71" s="72"/>
      <c r="W71" s="103"/>
      <c r="X71" s="103"/>
      <c r="Y71" s="104"/>
    </row>
    <row r="72" spans="1:25" ht="15" customHeight="1" x14ac:dyDescent="0.3">
      <c r="A72" s="101"/>
      <c r="D72" s="28"/>
      <c r="E72" s="69"/>
      <c r="F72" s="70"/>
      <c r="G72" s="70"/>
      <c r="H72" s="37"/>
      <c r="I72" s="37"/>
      <c r="J72" s="37"/>
      <c r="K72" s="37"/>
      <c r="L72" s="37"/>
      <c r="M72" s="37"/>
      <c r="N72" s="37"/>
      <c r="O72" s="37"/>
      <c r="P72" s="37"/>
      <c r="Q72" s="103"/>
      <c r="R72" s="103"/>
      <c r="S72" s="101"/>
      <c r="T72" s="101"/>
      <c r="U72" s="101"/>
      <c r="V72" s="72"/>
      <c r="W72" s="103"/>
      <c r="X72" s="103"/>
      <c r="Y72" s="104"/>
    </row>
    <row r="73" spans="1:25" x14ac:dyDescent="0.3">
      <c r="A73" s="23" t="s">
        <v>270</v>
      </c>
      <c r="B73" s="179"/>
    </row>
    <row r="74" spans="1:25" x14ac:dyDescent="0.3">
      <c r="A74" s="23"/>
      <c r="B74" s="284" t="s">
        <v>268</v>
      </c>
    </row>
    <row r="75" spans="1:25" x14ac:dyDescent="0.3">
      <c r="A75" s="23"/>
      <c r="B75" s="284" t="s">
        <v>269</v>
      </c>
    </row>
    <row r="76" spans="1:25" x14ac:dyDescent="0.3">
      <c r="A76" s="23"/>
      <c r="B76" s="179"/>
    </row>
    <row r="77" spans="1:25" ht="27" x14ac:dyDescent="0.3">
      <c r="B77" s="386" t="s">
        <v>200</v>
      </c>
      <c r="C77" s="387" t="s">
        <v>202</v>
      </c>
      <c r="D77" s="388" t="s">
        <v>203</v>
      </c>
      <c r="E77" s="232" t="s">
        <v>201</v>
      </c>
      <c r="F77" s="389"/>
    </row>
    <row r="78" spans="1:25" ht="27" x14ac:dyDescent="0.3">
      <c r="B78" s="237" t="s">
        <v>154</v>
      </c>
      <c r="C78" s="233" t="s">
        <v>267</v>
      </c>
      <c r="D78" s="234" t="s">
        <v>9</v>
      </c>
      <c r="E78" s="235" t="s">
        <v>323</v>
      </c>
      <c r="F78" s="236"/>
      <c r="G78" s="236"/>
      <c r="H78" s="236"/>
      <c r="I78" s="236"/>
    </row>
    <row r="79" spans="1:25" ht="54" customHeight="1" x14ac:dyDescent="0.3">
      <c r="B79" s="237" t="s">
        <v>171</v>
      </c>
      <c r="C79" s="233" t="s">
        <v>187</v>
      </c>
      <c r="D79" s="234" t="s">
        <v>10</v>
      </c>
      <c r="E79" s="410" t="s">
        <v>194</v>
      </c>
      <c r="F79" s="410"/>
      <c r="G79" s="410"/>
      <c r="H79" s="410"/>
      <c r="I79" s="410"/>
    </row>
    <row r="80" spans="1:25" ht="40.950000000000003" customHeight="1" x14ac:dyDescent="0.3">
      <c r="B80" s="237" t="s">
        <v>161</v>
      </c>
      <c r="C80" s="233" t="s">
        <v>187</v>
      </c>
      <c r="D80" s="237" t="s">
        <v>213</v>
      </c>
      <c r="E80" s="410" t="s">
        <v>324</v>
      </c>
      <c r="F80" s="410"/>
      <c r="G80" s="410"/>
      <c r="H80" s="410"/>
      <c r="I80" s="410"/>
    </row>
    <row r="81" spans="2:9" ht="30" customHeight="1" x14ac:dyDescent="0.3">
      <c r="B81" s="237" t="s">
        <v>289</v>
      </c>
      <c r="C81" s="233" t="s">
        <v>187</v>
      </c>
      <c r="D81" s="237" t="s">
        <v>9</v>
      </c>
      <c r="E81" s="410" t="s">
        <v>325</v>
      </c>
      <c r="F81" s="410"/>
      <c r="G81" s="410"/>
      <c r="H81" s="410"/>
      <c r="I81" s="410"/>
    </row>
    <row r="82" spans="2:9" ht="27" x14ac:dyDescent="0.3">
      <c r="B82" s="237" t="s">
        <v>326</v>
      </c>
      <c r="C82" s="233" t="s">
        <v>267</v>
      </c>
      <c r="D82" s="237" t="s">
        <v>9</v>
      </c>
      <c r="E82" s="410" t="s">
        <v>327</v>
      </c>
      <c r="F82" s="410"/>
      <c r="G82" s="410"/>
      <c r="H82" s="410"/>
      <c r="I82" s="410"/>
    </row>
    <row r="83" spans="2:9" ht="26.4" customHeight="1" x14ac:dyDescent="0.3">
      <c r="B83" s="237" t="s">
        <v>177</v>
      </c>
      <c r="C83" s="233" t="s">
        <v>187</v>
      </c>
      <c r="D83" s="234" t="s">
        <v>10</v>
      </c>
      <c r="E83" s="410" t="s">
        <v>328</v>
      </c>
      <c r="F83" s="410"/>
      <c r="G83" s="410"/>
      <c r="H83" s="410"/>
      <c r="I83" s="410"/>
    </row>
    <row r="84" spans="2:9" ht="26.4" customHeight="1" x14ac:dyDescent="0.3">
      <c r="B84" s="237" t="s">
        <v>298</v>
      </c>
      <c r="C84" s="233" t="s">
        <v>187</v>
      </c>
      <c r="D84" s="234" t="s">
        <v>10</v>
      </c>
      <c r="E84" s="410" t="s">
        <v>329</v>
      </c>
      <c r="F84" s="410"/>
      <c r="G84" s="410"/>
      <c r="H84" s="410"/>
      <c r="I84" s="410"/>
    </row>
    <row r="85" spans="2:9" ht="27" x14ac:dyDescent="0.3">
      <c r="B85" s="237" t="s">
        <v>147</v>
      </c>
      <c r="C85" s="233" t="s">
        <v>267</v>
      </c>
      <c r="D85" s="234" t="s">
        <v>9</v>
      </c>
      <c r="E85" s="410" t="s">
        <v>330</v>
      </c>
      <c r="F85" s="410"/>
      <c r="G85" s="410"/>
      <c r="H85" s="410"/>
      <c r="I85" s="410"/>
    </row>
    <row r="86" spans="2:9" ht="28.2" customHeight="1" x14ac:dyDescent="0.3">
      <c r="B86" s="237" t="s">
        <v>196</v>
      </c>
      <c r="C86" s="233" t="s">
        <v>187</v>
      </c>
      <c r="D86" s="234" t="s">
        <v>9</v>
      </c>
      <c r="E86" s="410" t="s">
        <v>195</v>
      </c>
      <c r="F86" s="410"/>
      <c r="G86" s="410"/>
      <c r="H86" s="410"/>
      <c r="I86" s="410"/>
    </row>
    <row r="87" spans="2:9" ht="25.95" customHeight="1" x14ac:dyDescent="0.3">
      <c r="B87" s="237" t="s">
        <v>197</v>
      </c>
      <c r="C87" s="233" t="s">
        <v>187</v>
      </c>
      <c r="D87" s="234" t="s">
        <v>10</v>
      </c>
      <c r="E87" s="410" t="s">
        <v>198</v>
      </c>
      <c r="F87" s="410"/>
      <c r="G87" s="410"/>
      <c r="H87" s="410"/>
      <c r="I87" s="410"/>
    </row>
    <row r="88" spans="2:9" ht="25.95" customHeight="1" x14ac:dyDescent="0.3">
      <c r="B88" s="237" t="s">
        <v>331</v>
      </c>
      <c r="C88" s="233" t="s">
        <v>187</v>
      </c>
      <c r="D88" s="234" t="s">
        <v>9</v>
      </c>
      <c r="E88" s="410" t="s">
        <v>332</v>
      </c>
      <c r="F88" s="410"/>
      <c r="G88" s="410"/>
      <c r="H88" s="410"/>
      <c r="I88" s="410"/>
    </row>
    <row r="89" spans="2:9" x14ac:dyDescent="0.3">
      <c r="B89" s="237" t="s">
        <v>210</v>
      </c>
      <c r="C89" s="233" t="s">
        <v>187</v>
      </c>
      <c r="D89" s="234" t="s">
        <v>10</v>
      </c>
      <c r="E89" s="236" t="s">
        <v>340</v>
      </c>
      <c r="F89" s="267"/>
      <c r="G89" s="267"/>
      <c r="H89" s="267"/>
      <c r="I89" s="267"/>
    </row>
    <row r="90" spans="2:9" x14ac:dyDescent="0.3">
      <c r="B90" s="237" t="s">
        <v>211</v>
      </c>
      <c r="C90" s="233" t="s">
        <v>187</v>
      </c>
      <c r="D90" s="234" t="s">
        <v>10</v>
      </c>
      <c r="E90" s="236" t="s">
        <v>341</v>
      </c>
      <c r="F90" s="267"/>
      <c r="G90" s="267"/>
      <c r="H90" s="267"/>
      <c r="I90" s="267"/>
    </row>
    <row r="91" spans="2:9" x14ac:dyDescent="0.3">
      <c r="B91" s="237" t="s">
        <v>212</v>
      </c>
      <c r="C91" s="233" t="s">
        <v>187</v>
      </c>
      <c r="D91" s="234" t="s">
        <v>10</v>
      </c>
      <c r="E91" s="236" t="s">
        <v>342</v>
      </c>
      <c r="F91" s="267"/>
      <c r="G91" s="267"/>
      <c r="H91" s="267"/>
      <c r="I91" s="267"/>
    </row>
    <row r="92" spans="2:9" ht="27.6" customHeight="1" x14ac:dyDescent="0.3">
      <c r="B92" s="237" t="s">
        <v>11</v>
      </c>
      <c r="C92" s="233" t="s">
        <v>187</v>
      </c>
      <c r="D92" s="234" t="s">
        <v>10</v>
      </c>
      <c r="E92" s="410" t="s">
        <v>216</v>
      </c>
      <c r="F92" s="410"/>
      <c r="G92" s="410"/>
      <c r="H92" s="410"/>
      <c r="I92" s="410"/>
    </row>
    <row r="93" spans="2:9" ht="27.6" customHeight="1" x14ac:dyDescent="0.3">
      <c r="B93" s="237" t="s">
        <v>12</v>
      </c>
      <c r="C93" s="233" t="s">
        <v>187</v>
      </c>
      <c r="D93" s="234" t="s">
        <v>10</v>
      </c>
      <c r="E93" s="410" t="s">
        <v>215</v>
      </c>
      <c r="F93" s="410"/>
      <c r="G93" s="410"/>
      <c r="H93" s="410"/>
      <c r="I93" s="410"/>
    </row>
    <row r="94" spans="2:9" x14ac:dyDescent="0.3">
      <c r="B94" s="237" t="s">
        <v>308</v>
      </c>
      <c r="C94" s="233" t="s">
        <v>187</v>
      </c>
      <c r="D94" s="234" t="s">
        <v>10</v>
      </c>
      <c r="E94" s="236" t="s">
        <v>199</v>
      </c>
      <c r="F94" s="236"/>
      <c r="G94" s="236"/>
      <c r="H94" s="236"/>
      <c r="I94" s="236"/>
    </row>
    <row r="95" spans="2:9" x14ac:dyDescent="0.3">
      <c r="B95" s="237" t="s">
        <v>13</v>
      </c>
      <c r="C95" s="233" t="s">
        <v>204</v>
      </c>
      <c r="D95" s="234" t="s">
        <v>9</v>
      </c>
      <c r="E95" s="236" t="s">
        <v>205</v>
      </c>
      <c r="F95" s="236"/>
      <c r="G95" s="236"/>
      <c r="H95" s="236"/>
      <c r="I95" s="236"/>
    </row>
    <row r="96" spans="2:9" x14ac:dyDescent="0.3">
      <c r="B96" s="237" t="s">
        <v>34</v>
      </c>
      <c r="C96" s="233" t="s">
        <v>204</v>
      </c>
      <c r="D96" s="234" t="s">
        <v>9</v>
      </c>
      <c r="E96" s="236" t="s">
        <v>206</v>
      </c>
      <c r="F96" s="236"/>
      <c r="G96" s="236"/>
      <c r="H96" s="236"/>
      <c r="I96" s="236"/>
    </row>
    <row r="97" spans="2:9" x14ac:dyDescent="0.3">
      <c r="B97" s="237" t="s">
        <v>155</v>
      </c>
      <c r="C97" s="233" t="s">
        <v>204</v>
      </c>
      <c r="D97" s="234" t="s">
        <v>9</v>
      </c>
      <c r="E97" s="236" t="s">
        <v>207</v>
      </c>
      <c r="F97" s="236"/>
      <c r="G97" s="236"/>
      <c r="H97" s="236"/>
      <c r="I97" s="236"/>
    </row>
    <row r="98" spans="2:9" x14ac:dyDescent="0.3">
      <c r="B98" s="237" t="s">
        <v>161</v>
      </c>
      <c r="C98" s="233" t="s">
        <v>204</v>
      </c>
      <c r="D98" s="234" t="s">
        <v>10</v>
      </c>
      <c r="E98" s="236" t="s">
        <v>208</v>
      </c>
      <c r="F98" s="236"/>
      <c r="G98" s="236"/>
      <c r="H98" s="236"/>
      <c r="I98" s="236"/>
    </row>
    <row r="99" spans="2:9" ht="27.6" customHeight="1" x14ac:dyDescent="0.3">
      <c r="B99" s="237" t="s">
        <v>156</v>
      </c>
      <c r="C99" s="233" t="s">
        <v>204</v>
      </c>
      <c r="D99" s="234" t="s">
        <v>10</v>
      </c>
      <c r="E99" s="410" t="s">
        <v>209</v>
      </c>
      <c r="F99" s="410"/>
      <c r="G99" s="410"/>
      <c r="H99" s="410"/>
      <c r="I99" s="410"/>
    </row>
    <row r="100" spans="2:9" ht="27.6" customHeight="1" x14ac:dyDescent="0.3">
      <c r="B100" s="237" t="s">
        <v>295</v>
      </c>
      <c r="C100" s="233" t="s">
        <v>204</v>
      </c>
      <c r="D100" s="234" t="s">
        <v>9</v>
      </c>
      <c r="E100" s="410" t="s">
        <v>334</v>
      </c>
      <c r="F100" s="410"/>
      <c r="G100" s="410"/>
      <c r="H100" s="410"/>
      <c r="I100" s="410"/>
    </row>
    <row r="101" spans="2:9" ht="27.6" customHeight="1" x14ac:dyDescent="0.3">
      <c r="B101" s="237" t="s">
        <v>333</v>
      </c>
      <c r="C101" s="233" t="s">
        <v>204</v>
      </c>
      <c r="D101" s="234" t="s">
        <v>9</v>
      </c>
      <c r="E101" s="410" t="s">
        <v>335</v>
      </c>
      <c r="F101" s="410"/>
      <c r="G101" s="410"/>
      <c r="H101" s="410"/>
      <c r="I101" s="410"/>
    </row>
    <row r="102" spans="2:9" ht="27.6" customHeight="1" x14ac:dyDescent="0.3">
      <c r="B102" s="237" t="s">
        <v>336</v>
      </c>
      <c r="C102" s="233" t="s">
        <v>204</v>
      </c>
      <c r="D102" s="234" t="s">
        <v>9</v>
      </c>
      <c r="E102" s="410" t="s">
        <v>338</v>
      </c>
      <c r="F102" s="410"/>
      <c r="G102" s="410"/>
      <c r="H102" s="410"/>
      <c r="I102" s="410"/>
    </row>
    <row r="103" spans="2:9" ht="27.6" customHeight="1" x14ac:dyDescent="0.3">
      <c r="B103" s="237" t="s">
        <v>337</v>
      </c>
      <c r="C103" s="233" t="s">
        <v>204</v>
      </c>
      <c r="D103" s="234" t="s">
        <v>9</v>
      </c>
      <c r="E103" s="410" t="s">
        <v>339</v>
      </c>
      <c r="F103" s="410"/>
      <c r="G103" s="410"/>
      <c r="H103" s="410"/>
      <c r="I103" s="410"/>
    </row>
    <row r="104" spans="2:9" ht="25.95" customHeight="1" x14ac:dyDescent="0.3">
      <c r="B104" s="237" t="s">
        <v>11</v>
      </c>
      <c r="C104" s="233" t="s">
        <v>204</v>
      </c>
      <c r="D104" s="234" t="s">
        <v>10</v>
      </c>
      <c r="E104" s="410" t="s">
        <v>214</v>
      </c>
      <c r="F104" s="410"/>
      <c r="G104" s="410"/>
      <c r="H104" s="410"/>
      <c r="I104" s="410"/>
    </row>
    <row r="105" spans="2:9" ht="26.4" customHeight="1" x14ac:dyDescent="0.3">
      <c r="B105" s="237" t="s">
        <v>12</v>
      </c>
      <c r="C105" s="233" t="s">
        <v>204</v>
      </c>
      <c r="D105" s="234" t="s">
        <v>10</v>
      </c>
      <c r="E105" s="410" t="s">
        <v>217</v>
      </c>
      <c r="F105" s="410"/>
      <c r="G105" s="410"/>
      <c r="H105" s="410"/>
      <c r="I105" s="410"/>
    </row>
  </sheetData>
  <sheetProtection algorithmName="SHA-512" hashValue="DV1DeSrRI8PIPgZoKSfDEGk5cRrhXorpFF/RPtBxtTXS5D/kJ0fZgjd2XKLbTtw9tYzbnMoCghB3QNZEzbJ6gg==" saltValue="DkqVlaQof5su+6tXzWhLLQ==" spinCount="100000" sheet="1" objects="1" scenarios="1" sort="0"/>
  <mergeCells count="26">
    <mergeCell ref="B3:I3"/>
    <mergeCell ref="B36:I36"/>
    <mergeCell ref="E80:I80"/>
    <mergeCell ref="E79:I79"/>
    <mergeCell ref="E105:I105"/>
    <mergeCell ref="E93:I93"/>
    <mergeCell ref="E86:I86"/>
    <mergeCell ref="E87:I87"/>
    <mergeCell ref="E99:I99"/>
    <mergeCell ref="E104:I104"/>
    <mergeCell ref="E92:I92"/>
    <mergeCell ref="B47:B48"/>
    <mergeCell ref="B53:B54"/>
    <mergeCell ref="C47:C48"/>
    <mergeCell ref="C53:C54"/>
    <mergeCell ref="F65:G65"/>
    <mergeCell ref="E81:I81"/>
    <mergeCell ref="E82:I82"/>
    <mergeCell ref="E83:I83"/>
    <mergeCell ref="E84:I84"/>
    <mergeCell ref="E102:I102"/>
    <mergeCell ref="E103:I103"/>
    <mergeCell ref="E85:I85"/>
    <mergeCell ref="E88:I88"/>
    <mergeCell ref="E100:I100"/>
    <mergeCell ref="E101:I101"/>
  </mergeCells>
  <pageMargins left="0.7" right="0.7" top="0.75" bottom="0.75" header="0.3" footer="0.3"/>
  <pageSetup scale="65" orientation="portrait" verticalDpi="1200" r:id="rId1"/>
  <headerFooter>
    <oddHeader>&amp;L&amp;"Arial,Bold"WILLAMETTE RIVER WATER TREATMENT PLANT - 2017 MASTER PLAN UPDATE
CAPITAL IMPROVEMENT PLAN WORKBOOK</oddHeader>
    <oddFooter>&amp;L&amp;"Arial,Regular"&amp;8WRWTP - 2017 MPU CIP Workbook&amp;C&amp;"Arial,Regular"&amp;8&amp;A Sheet&amp;R&amp;"Arial,Regular"&amp;8Page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errorTitle="Invalid Category" error="Must be one of the values defined on the Stakeholder Categories sheet.">
          <x14:formula1>
            <xm:f>'Stakeholder Categories'!$A$3:$A$4</xm:f>
          </x14:formula1>
          <xm:sqref>C67:C71</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X44"/>
  <sheetViews>
    <sheetView zoomScaleNormal="100" zoomScaleSheetLayoutView="100" workbookViewId="0">
      <selection activeCell="D26" sqref="D26"/>
    </sheetView>
  </sheetViews>
  <sheetFormatPr defaultColWidth="9.109375" defaultRowHeight="13.2" x14ac:dyDescent="0.25"/>
  <cols>
    <col min="1" max="1" width="4" style="17" customWidth="1"/>
    <col min="2" max="2" width="27" style="17" customWidth="1"/>
    <col min="3" max="3" width="6.5546875" style="17" customWidth="1"/>
    <col min="4" max="6" width="15.44140625" style="17" bestFit="1" customWidth="1"/>
    <col min="7" max="7" width="14.33203125" style="17" customWidth="1"/>
    <col min="8" max="9" width="12.6640625" style="17" bestFit="1" customWidth="1"/>
    <col min="10" max="13" width="11.6640625" style="17" bestFit="1" customWidth="1"/>
    <col min="14" max="14" width="15.109375" style="17" customWidth="1"/>
    <col min="15" max="17" width="11.6640625" style="17" bestFit="1" customWidth="1"/>
    <col min="18" max="19" width="12.6640625" style="17" bestFit="1" customWidth="1"/>
    <col min="20" max="20" width="13.109375" style="17" bestFit="1" customWidth="1"/>
    <col min="21" max="22" width="12.6640625" style="17" bestFit="1" customWidth="1"/>
    <col min="23" max="23" width="11.6640625" style="17" bestFit="1" customWidth="1"/>
    <col min="24" max="24" width="15.6640625" style="17" customWidth="1"/>
    <col min="25" max="16384" width="9.109375" style="17"/>
  </cols>
  <sheetData>
    <row r="1" spans="1:24" ht="16.95" customHeight="1" x14ac:dyDescent="0.25">
      <c r="A1" s="306" t="s">
        <v>352</v>
      </c>
      <c r="B1" s="307"/>
      <c r="C1" s="307"/>
      <c r="D1" s="307"/>
      <c r="E1" s="346"/>
      <c r="F1" s="347"/>
      <c r="G1" s="307"/>
      <c r="H1" s="307"/>
      <c r="I1" s="307"/>
      <c r="J1" s="307"/>
      <c r="K1" s="307"/>
      <c r="L1" s="307"/>
      <c r="M1" s="307"/>
      <c r="N1" s="307"/>
      <c r="O1" s="308"/>
      <c r="P1" s="307"/>
      <c r="Q1" s="307"/>
      <c r="R1" s="307"/>
      <c r="S1" s="307"/>
      <c r="T1" s="307"/>
      <c r="U1" s="307"/>
      <c r="V1" s="307"/>
      <c r="W1" s="307"/>
      <c r="X1" s="308"/>
    </row>
    <row r="2" spans="1:24" x14ac:dyDescent="0.25">
      <c r="A2" s="24" t="s">
        <v>7</v>
      </c>
      <c r="B2" s="30"/>
      <c r="C2" s="238" t="s">
        <v>6</v>
      </c>
      <c r="D2" s="136">
        <v>2017</v>
      </c>
      <c r="E2" s="136">
        <v>2018</v>
      </c>
      <c r="F2" s="136">
        <v>2019</v>
      </c>
      <c r="G2" s="136">
        <v>2020</v>
      </c>
      <c r="H2" s="136">
        <v>2021</v>
      </c>
      <c r="I2" s="136">
        <v>2022</v>
      </c>
      <c r="J2" s="136">
        <v>2023</v>
      </c>
      <c r="K2" s="136">
        <v>2024</v>
      </c>
      <c r="L2" s="136">
        <v>2025</v>
      </c>
      <c r="M2" s="136">
        <v>2026</v>
      </c>
      <c r="N2" s="136">
        <v>2027</v>
      </c>
      <c r="O2" s="401">
        <v>2028</v>
      </c>
      <c r="P2" s="136">
        <v>2029</v>
      </c>
      <c r="Q2" s="136">
        <v>2030</v>
      </c>
      <c r="R2" s="136">
        <v>2031</v>
      </c>
      <c r="S2" s="136">
        <v>2032</v>
      </c>
      <c r="T2" s="136">
        <v>2033</v>
      </c>
      <c r="U2" s="136">
        <v>2034</v>
      </c>
      <c r="V2" s="136">
        <v>2035</v>
      </c>
      <c r="W2" s="136">
        <v>2036</v>
      </c>
      <c r="X2" s="148" t="s">
        <v>178</v>
      </c>
    </row>
    <row r="3" spans="1:24" ht="13.8" x14ac:dyDescent="0.3">
      <c r="A3" s="32" t="s">
        <v>218</v>
      </c>
      <c r="B3" s="31"/>
      <c r="C3" s="35"/>
      <c r="G3" s="36"/>
      <c r="H3" s="36"/>
      <c r="I3" s="36"/>
      <c r="J3" s="36"/>
      <c r="K3" s="36"/>
      <c r="L3" s="36"/>
      <c r="M3" s="36"/>
      <c r="N3" s="36"/>
      <c r="O3" s="402"/>
      <c r="P3" s="36"/>
      <c r="Q3" s="36"/>
      <c r="R3" s="36"/>
      <c r="S3" s="36"/>
      <c r="T3" s="36"/>
      <c r="U3" s="36"/>
      <c r="V3" s="36"/>
      <c r="W3" s="36"/>
      <c r="X3" s="149"/>
    </row>
    <row r="4" spans="1:24" ht="13.8" x14ac:dyDescent="0.3">
      <c r="A4" s="32"/>
      <c r="B4" s="31" t="s">
        <v>273</v>
      </c>
      <c r="C4" s="33"/>
      <c r="D4" s="290">
        <f>IF(DD_20MGD/12&gt;1,IF(OR(D$2=Design_20MGD,AND(D$2&gt;Design_20MGD,D$2&lt;=Design_20MGD+DD_20MGD/12)),SUMIF(Full_Project,'Financial Summary (2017)'!$A$3,Full_Design)/ROUNDUP(DD_20MGD/12,0),0),IF(D$2=Design_20MGD,SUMIF(Full_Project,'Financial Summary (2017)'!$A$3,Full_Design),0))</f>
        <v>0</v>
      </c>
      <c r="E4" s="290">
        <f>IF(DD_20MGD/12&gt;1,IF(OR(E$2=Design_20MGD,AND(E$2&gt;Design_20MGD,E$2&lt;=Design_20MGD+DD_20MGD/12)),SUMIF(Full_Project,'Financial Summary (2017)'!$A$3,Full_Design)/ROUNDUP(DD_20MGD/12,0),0),IF(E$2=Design_20MGD,SUMIF(Full_Project,'Financial Summary (2017)'!$A$3,Full_Design),0))</f>
        <v>1885516.4999999998</v>
      </c>
      <c r="F4" s="290">
        <f>IF(DD_20MGD/12&gt;1,IF(OR(F$2=Design_20MGD,AND(F$2&gt;Design_20MGD,F$2&lt;=Design_20MGD+DD_20MGD/12)),SUMIF(Full_Project,'Financial Summary (2017)'!$A$3,Full_Design)/ROUNDUP(DD_20MGD/12,0),0),IF(F$2=Design_20MGD,SUMIF(Full_Project,'Financial Summary (2017)'!$A$3,Full_Design),0))</f>
        <v>0</v>
      </c>
      <c r="G4" s="290">
        <f>IF(DD_20MGD/12&gt;1,IF(OR(G$2=Design_20MGD,AND(G$2&gt;Design_20MGD,G$2&lt;=Design_20MGD+DD_20MGD/12)),SUMIF(Full_Project,'Financial Summary (2017)'!$A$3,Full_Design)/ROUNDUP(DD_20MGD/12,0),0),IF(G$2=Design_20MGD,SUMIF(Full_Project,'Financial Summary (2017)'!$A$3,Full_Design),0))</f>
        <v>0</v>
      </c>
      <c r="H4" s="290">
        <f>IF(DD_20MGD/12&gt;1,IF(OR(H$2=Design_20MGD,AND(H$2&gt;Design_20MGD,H$2&lt;=Design_20MGD+DD_20MGD/12)),SUMIF(Full_Project,'Financial Summary (2017)'!$A$3,Full_Design)/ROUNDUP(DD_20MGD/12,0),0),IF(H$2=Design_20MGD,SUMIF(Full_Project,'Financial Summary (2017)'!$A$3,Full_Design),0))</f>
        <v>0</v>
      </c>
      <c r="I4" s="290">
        <f>IF(DD_20MGD/12&gt;1,IF(OR(I$2=Design_20MGD,AND(I$2&gt;Design_20MGD,I$2&lt;=Design_20MGD+DD_20MGD/12)),SUMIF(Full_Project,'Financial Summary (2017)'!$A$3,Full_Design)/ROUNDUP(DD_20MGD/12,0),0),IF(I$2=Design_20MGD,SUMIF(Full_Project,'Financial Summary (2017)'!$A$3,Full_Design),0))</f>
        <v>0</v>
      </c>
      <c r="J4" s="290">
        <f>IF(DD_20MGD/12&gt;1,IF(OR(J$2=Design_20MGD,AND(J$2&gt;Design_20MGD,J$2&lt;=Design_20MGD+DD_20MGD/12)),SUMIF(Full_Project,'Financial Summary (2017)'!$A$3,Full_Design)/ROUNDUP(DD_20MGD/12,0),0),IF(J$2=Design_20MGD,SUMIF(Full_Project,'Financial Summary (2017)'!$A$3,Full_Design),0))</f>
        <v>0</v>
      </c>
      <c r="K4" s="290">
        <f>IF(DD_20MGD/12&gt;1,IF(OR(K$2=Design_20MGD,AND(K$2&gt;Design_20MGD,K$2&lt;=Design_20MGD+DD_20MGD/12)),SUMIF(Full_Project,'Financial Summary (2017)'!$A$3,Full_Design)/ROUNDUP(DD_20MGD/12,0),0),IF(K$2=Design_20MGD,SUMIF(Full_Project,'Financial Summary (2017)'!$A$3,Full_Design),0))</f>
        <v>0</v>
      </c>
      <c r="L4" s="290">
        <f>IF(DD_20MGD/12&gt;1,IF(OR(L$2=Design_20MGD,AND(L$2&gt;Design_20MGD,L$2&lt;=Design_20MGD+DD_20MGD/12)),SUMIF(Full_Project,'Financial Summary (2017)'!$A$3,Full_Design)/ROUNDUP(DD_20MGD/12,0),0),IF(L$2=Design_20MGD,SUMIF(Full_Project,'Financial Summary (2017)'!$A$3,Full_Design),0))</f>
        <v>0</v>
      </c>
      <c r="M4" s="290">
        <f>IF(DD_20MGD/12&gt;1,IF(OR(M$2=Design_20MGD,AND(M$2&gt;Design_20MGD,M$2&lt;=Design_20MGD+DD_20MGD/12)),SUMIF(Full_Project,'Financial Summary (2017)'!$A$3,Full_Design)/ROUNDUP(DD_20MGD/12,0),0),IF(M$2=Design_20MGD,SUMIF(Full_Project,'Financial Summary (2017)'!$A$3,Full_Design),0))</f>
        <v>0</v>
      </c>
      <c r="N4" s="290">
        <f>IF(DD_20MGD/12&gt;1,IF(OR(N$2=Design_20MGD,AND(N$2&gt;Design_20MGD,N$2&lt;=Design_20MGD+DD_20MGD/12)),SUMIF(Full_Project,'Financial Summary (2017)'!$A$3,Full_Design)/ROUNDUP(DD_20MGD/12,0),0),IF(N$2=Design_20MGD,SUMIF(Full_Project,'Financial Summary (2017)'!$A$3,Full_Design),0))</f>
        <v>0</v>
      </c>
      <c r="O4" s="403">
        <f>IF(DD_20MGD/12&gt;1,IF(OR(O$2=Design_20MGD,AND(O$2&gt;Design_20MGD,O$2&lt;=Design_20MGD+DD_20MGD/12)),SUMIF(Full_Project,'Financial Summary (2017)'!$A$3,Full_Design)/ROUNDUP(DD_20MGD/12,0),0),IF(O$2=Design_20MGD,SUMIF(Full_Project,'Financial Summary (2017)'!$A$3,Full_Design),0))</f>
        <v>0</v>
      </c>
      <c r="P4" s="290">
        <f>IF(DD_20MGD/12&gt;1,IF(OR(P$2=Design_20MGD,AND(P$2&gt;Design_20MGD,P$2&lt;=Design_20MGD+DD_20MGD/12)),SUMIF(Full_Project,'Financial Summary (2017)'!$A$3,Full_Design)/ROUNDUP(DD_20MGD/12,0),0),IF(P$2=Design_20MGD,SUMIF(Full_Project,'Financial Summary (2017)'!$A$3,Full_Design),0))</f>
        <v>0</v>
      </c>
      <c r="Q4" s="290">
        <f>IF(DD_20MGD/12&gt;1,IF(OR(Q$2=Design_20MGD,AND(Q$2&gt;Design_20MGD,Q$2&lt;=Design_20MGD+DD_20MGD/12)),SUMIF(Full_Project,'Financial Summary (2017)'!$A$3,Full_Design)/ROUNDUP(DD_20MGD/12,0),0),IF(Q$2=Design_20MGD,SUMIF(Full_Project,'Financial Summary (2017)'!$A$3,Full_Design),0))</f>
        <v>0</v>
      </c>
      <c r="R4" s="290">
        <f>IF(DD_20MGD/12&gt;1,IF(OR(R$2=Design_20MGD,AND(R$2&gt;Design_20MGD,R$2&lt;=Design_20MGD+DD_20MGD/12)),SUMIF(Full_Project,'Financial Summary (2017)'!$A$3,Full_Design)/ROUNDUP(DD_20MGD/12,0),0),IF(R$2=Design_20MGD,SUMIF(Full_Project,'Financial Summary (2017)'!$A$3,Full_Design),0))</f>
        <v>0</v>
      </c>
      <c r="S4" s="290">
        <f>IF(DD_20MGD/12&gt;1,IF(OR(S$2=Design_20MGD,AND(S$2&gt;Design_20MGD,S$2&lt;=Design_20MGD+DD_20MGD/12)),SUMIF(Full_Project,'Financial Summary (2017)'!$A$3,Full_Design)/ROUNDUP(DD_20MGD/12,0),0),IF(S$2=Design_20MGD,SUMIF(Full_Project,'Financial Summary (2017)'!$A$3,Full_Design),0))</f>
        <v>0</v>
      </c>
      <c r="T4" s="290">
        <f>IF(DD_20MGD/12&gt;1,IF(OR(T$2=Design_20MGD,AND(T$2&gt;Design_20MGD,T$2&lt;=Design_20MGD+DD_20MGD/12)),SUMIF(Full_Project,'Financial Summary (2017)'!$A$3,Full_Design)/ROUNDUP(DD_20MGD/12,0),0),IF(T$2=Design_20MGD,SUMIF(Full_Project,'Financial Summary (2017)'!$A$3,Full_Design),0))</f>
        <v>0</v>
      </c>
      <c r="U4" s="290">
        <f>IF(DD_20MGD/12&gt;1,IF(OR(U$2=Design_20MGD,AND(U$2&gt;Design_20MGD,U$2&lt;=Design_20MGD+DD_20MGD/12)),SUMIF(Full_Project,'Financial Summary (2017)'!$A$3,Full_Design)/ROUNDUP(DD_20MGD/12,0),0),IF(U$2=Design_20MGD,SUMIF(Full_Project,'Financial Summary (2017)'!$A$3,Full_Design),0))</f>
        <v>0</v>
      </c>
      <c r="V4" s="290">
        <f>IF(DD_20MGD/12&gt;1,IF(OR(V$2=Design_20MGD,AND(V$2&gt;Design_20MGD,V$2&lt;=Design_20MGD+DD_20MGD/12)),SUMIF(Full_Project,'Financial Summary (2017)'!$A$3,Full_Design)/ROUNDUP(DD_20MGD/12,0),0),IF(V$2=Design_20MGD,SUMIF(Full_Project,'Financial Summary (2017)'!$A$3,Full_Design),0))</f>
        <v>0</v>
      </c>
      <c r="W4" s="290">
        <f>IF(DD_20MGD/12&gt;1,IF(OR(W$2=Design_20MGD,AND(W$2&gt;Design_20MGD,W$2&lt;=Design_20MGD+DD_20MGD/12)),SUMIF(Full_Project,'Financial Summary (2017)'!$A$3,Full_Design)/ROUNDUP(DD_20MGD/12,0),0),IF(W$2=Design_20MGD,SUMIF(Full_Project,'Financial Summary (2017)'!$A$3,Full_Design),0))</f>
        <v>0</v>
      </c>
      <c r="X4" s="291">
        <f>SUM(D4:W4)</f>
        <v>1885516.4999999998</v>
      </c>
    </row>
    <row r="5" spans="1:24" ht="13.8" x14ac:dyDescent="0.3">
      <c r="A5" s="32"/>
      <c r="B5" s="31" t="s">
        <v>272</v>
      </c>
      <c r="C5" s="33"/>
      <c r="D5" s="290">
        <f t="shared" ref="D5:W5" si="0">IF(OR(D$2=Design_20MGD,AND(D$2&gt;Design_20MGD,D$2&lt;Complete_20MGD)),SUMIF(Full_Project,$A$3,Full_Admin)/(Duration_20MGD),0)</f>
        <v>0</v>
      </c>
      <c r="E5" s="290">
        <f t="shared" si="0"/>
        <v>419003.66666666674</v>
      </c>
      <c r="F5" s="290">
        <f t="shared" si="0"/>
        <v>419003.66666666674</v>
      </c>
      <c r="G5" s="290">
        <f t="shared" si="0"/>
        <v>419003.66666666674</v>
      </c>
      <c r="H5" s="290">
        <f t="shared" si="0"/>
        <v>0</v>
      </c>
      <c r="I5" s="290">
        <f t="shared" si="0"/>
        <v>0</v>
      </c>
      <c r="J5" s="290">
        <f t="shared" si="0"/>
        <v>0</v>
      </c>
      <c r="K5" s="290">
        <f t="shared" si="0"/>
        <v>0</v>
      </c>
      <c r="L5" s="290">
        <f t="shared" si="0"/>
        <v>0</v>
      </c>
      <c r="M5" s="290">
        <f t="shared" si="0"/>
        <v>0</v>
      </c>
      <c r="N5" s="290">
        <f t="shared" si="0"/>
        <v>0</v>
      </c>
      <c r="O5" s="403">
        <f t="shared" si="0"/>
        <v>0</v>
      </c>
      <c r="P5" s="290">
        <f t="shared" si="0"/>
        <v>0</v>
      </c>
      <c r="Q5" s="290">
        <f t="shared" si="0"/>
        <v>0</v>
      </c>
      <c r="R5" s="290">
        <f t="shared" si="0"/>
        <v>0</v>
      </c>
      <c r="S5" s="290">
        <f t="shared" si="0"/>
        <v>0</v>
      </c>
      <c r="T5" s="290">
        <f t="shared" si="0"/>
        <v>0</v>
      </c>
      <c r="U5" s="290">
        <f t="shared" si="0"/>
        <v>0</v>
      </c>
      <c r="V5" s="290">
        <f t="shared" si="0"/>
        <v>0</v>
      </c>
      <c r="W5" s="290">
        <f t="shared" si="0"/>
        <v>0</v>
      </c>
      <c r="X5" s="291">
        <f t="shared" ref="X5:X7" si="1">SUM(D5:W5)</f>
        <v>1257011.0000000002</v>
      </c>
    </row>
    <row r="6" spans="1:24" ht="13.8" x14ac:dyDescent="0.3">
      <c r="A6" s="32"/>
      <c r="B6" s="31" t="s">
        <v>5</v>
      </c>
      <c r="C6" s="33"/>
      <c r="D6" s="290">
        <f>IF(CD_20MGD/12&gt;1,IF(OR(D$2=Constr_20MGD,AND(D$2&gt;Constr_20MGD,D$2&lt;=Constr_20MGD+CD_20MGD/12)),SUMIF(Full_Project,'Financial Summary (2017)'!$A$3,Full_Constr)/ROUNDUP((CD_20MGD+F_20MGD)/12,0),0),IF(D$2=Constr_20MGD,SUMIF(Full_Project,'Financial Summary (2017)'!$A$3,Full_Constr),0))</f>
        <v>0</v>
      </c>
      <c r="E6" s="290">
        <f>IF(CD_20MGD/12&gt;1,IF(OR(E$2=Constr_20MGD,AND(E$2&gt;Constr_20MGD,E$2&lt;=Constr_20MGD+CD_20MGD/12)),SUMIF(Full_Project,'Financial Summary (2017)'!$A$3,Full_Constr)/ROUNDUP((CD_20MGD+F_20MGD)/12,0),0),IF(E$2=Constr_20MGD,SUMIF(Full_Project,'Financial Summary (2017)'!$A$3,Full_Constr),0))</f>
        <v>0</v>
      </c>
      <c r="F6" s="290">
        <f>IF(CD_20MGD/12&gt;1,IF(OR(F$2=Constr_20MGD,AND(F$2&gt;Constr_20MGD,F$2&lt;=Constr_20MGD+CD_20MGD/12)),SUMIF(Full_Project,'Financial Summary (2017)'!$A$3,Full_Constr)/ROUNDUP((CD_20MGD+F_20MGD)/12,0),0),IF(F$2=Constr_20MGD,SUMIF(Full_Project,'Financial Summary (2017)'!$A$3,Full_Constr),0))</f>
        <v>6285055</v>
      </c>
      <c r="G6" s="290">
        <f>IF(CD_20MGD/12&gt;1,IF(OR(G$2=Constr_20MGD,AND(G$2&gt;Constr_20MGD,G$2&lt;=Constr_20MGD+CD_20MGD/12)),SUMIF(Full_Project,'Financial Summary (2017)'!$A$3,Full_Constr)/ROUNDUP((CD_20MGD+F_20MGD)/12,0),0),IF(G$2=Constr_20MGD,SUMIF(Full_Project,'Financial Summary (2017)'!$A$3,Full_Constr),0))</f>
        <v>6285055</v>
      </c>
      <c r="H6" s="290">
        <f>IF(CD_20MGD/12&gt;1,IF(OR(H$2=Constr_20MGD,AND(H$2&gt;Constr_20MGD,H$2&lt;=Constr_20MGD+CD_20MGD/12)),SUMIF(Full_Project,'Financial Summary (2017)'!$A$3,Full_Constr)/ROUNDUP((CD_20MGD+F_20MGD)/12,0),0),IF(H$2=Constr_20MGD,SUMIF(Full_Project,'Financial Summary (2017)'!$A$3,Full_Constr),0))</f>
        <v>0</v>
      </c>
      <c r="I6" s="290">
        <f>IF(CD_20MGD/12&gt;1,IF(OR(I$2=Constr_20MGD,AND(I$2&gt;Constr_20MGD,I$2&lt;=Constr_20MGD+CD_20MGD/12)),SUMIF(Full_Project,'Financial Summary (2017)'!$A$3,Full_Constr)/ROUNDUP((CD_20MGD+F_20MGD)/12,0),0),IF(I$2=Constr_20MGD,SUMIF(Full_Project,'Financial Summary (2017)'!$A$3,Full_Constr),0))</f>
        <v>0</v>
      </c>
      <c r="J6" s="290">
        <f>IF(CD_20MGD/12&gt;1,IF(OR(J$2=Constr_20MGD,AND(J$2&gt;Constr_20MGD,J$2&lt;=Constr_20MGD+CD_20MGD/12)),SUMIF(Full_Project,'Financial Summary (2017)'!$A$3,Full_Constr)/ROUNDUP((CD_20MGD+F_20MGD)/12,0),0),IF(J$2=Constr_20MGD,SUMIF(Full_Project,'Financial Summary (2017)'!$A$3,Full_Constr),0))</f>
        <v>0</v>
      </c>
      <c r="K6" s="290">
        <f>IF(CD_20MGD/12&gt;1,IF(OR(K$2=Constr_20MGD,AND(K$2&gt;Constr_20MGD,K$2&lt;=Constr_20MGD+CD_20MGD/12)),SUMIF(Full_Project,'Financial Summary (2017)'!$A$3,Full_Constr)/ROUNDUP((CD_20MGD+F_20MGD)/12,0),0),IF(K$2=Constr_20MGD,SUMIF(Full_Project,'Financial Summary (2017)'!$A$3,Full_Constr),0))</f>
        <v>0</v>
      </c>
      <c r="L6" s="290">
        <f>IF(CD_20MGD/12&gt;1,IF(OR(L$2=Constr_20MGD,AND(L$2&gt;Constr_20MGD,L$2&lt;=Constr_20MGD+CD_20MGD/12)),SUMIF(Full_Project,'Financial Summary (2017)'!$A$3,Full_Constr)/ROUNDUP((CD_20MGD+F_20MGD)/12,0),0),IF(L$2=Constr_20MGD,SUMIF(Full_Project,'Financial Summary (2017)'!$A$3,Full_Constr),0))</f>
        <v>0</v>
      </c>
      <c r="M6" s="290">
        <f>IF(CD_20MGD/12&gt;1,IF(OR(M$2=Constr_20MGD,AND(M$2&gt;Constr_20MGD,M$2&lt;=Constr_20MGD+CD_20MGD/12)),SUMIF(Full_Project,'Financial Summary (2017)'!$A$3,Full_Constr)/ROUNDUP((CD_20MGD+F_20MGD)/12,0),0),IF(M$2=Constr_20MGD,SUMIF(Full_Project,'Financial Summary (2017)'!$A$3,Full_Constr),0))</f>
        <v>0</v>
      </c>
      <c r="N6" s="290">
        <f>IF(CD_20MGD/12&gt;1,IF(OR(N$2=Constr_20MGD,AND(N$2&gt;Constr_20MGD,N$2&lt;=Constr_20MGD+CD_20MGD/12)),SUMIF(Full_Project,'Financial Summary (2017)'!$A$3,Full_Constr)/ROUNDUP((CD_20MGD+F_20MGD)/12,0),0),IF(N$2=Constr_20MGD,SUMIF(Full_Project,'Financial Summary (2017)'!$A$3,Full_Constr),0))</f>
        <v>0</v>
      </c>
      <c r="O6" s="290">
        <f>IF(CD_20MGD/12&gt;1,IF(OR(O$2=Constr_20MGD,AND(O$2&gt;Constr_20MGD,O$2&lt;=Constr_20MGD+CD_20MGD/12)),SUMIF(Full_Project,'Financial Summary (2017)'!$A$3,Full_Constr)/ROUNDUP((CD_20MGD+F_20MGD)/12,0),0),IF(O$2=Constr_20MGD,SUMIF(Full_Project,'Financial Summary (2017)'!$A$3,Full_Constr),0))</f>
        <v>0</v>
      </c>
      <c r="P6" s="290">
        <f>IF(CD_20MGD/12&gt;1,IF(OR(P$2=Constr_20MGD,AND(P$2&gt;Constr_20MGD,P$2&lt;=Constr_20MGD+CD_20MGD/12)),SUMIF(Full_Project,'Financial Summary (2017)'!$A$3,Full_Constr)/ROUNDUP((CD_20MGD+F_20MGD)/12,0),0),IF(P$2=Constr_20MGD,SUMIF(Full_Project,'Financial Summary (2017)'!$A$3,Full_Constr),0))</f>
        <v>0</v>
      </c>
      <c r="Q6" s="290">
        <f>IF(CD_20MGD/12&gt;1,IF(OR(Q$2=Constr_20MGD,AND(Q$2&gt;Constr_20MGD,Q$2&lt;=Constr_20MGD+CD_20MGD/12)),SUMIF(Full_Project,'Financial Summary (2017)'!$A$3,Full_Constr)/ROUNDUP((CD_20MGD+F_20MGD)/12,0),0),IF(Q$2=Constr_20MGD,SUMIF(Full_Project,'Financial Summary (2017)'!$A$3,Full_Constr),0))</f>
        <v>0</v>
      </c>
      <c r="R6" s="290">
        <f>IF(CD_20MGD/12&gt;1,IF(OR(R$2=Constr_20MGD,AND(R$2&gt;Constr_20MGD,R$2&lt;=Constr_20MGD+CD_20MGD/12)),SUMIF(Full_Project,'Financial Summary (2017)'!$A$3,Full_Constr)/ROUNDUP((CD_20MGD+F_20MGD)/12,0),0),IF(R$2=Constr_20MGD,SUMIF(Full_Project,'Financial Summary (2017)'!$A$3,Full_Constr),0))</f>
        <v>0</v>
      </c>
      <c r="S6" s="290">
        <f>IF(CD_20MGD/12&gt;1,IF(OR(S$2=Constr_20MGD,AND(S$2&gt;Constr_20MGD,S$2&lt;=Constr_20MGD+CD_20MGD/12)),SUMIF(Full_Project,'Financial Summary (2017)'!$A$3,Full_Constr)/ROUNDUP((CD_20MGD+F_20MGD)/12,0),0),IF(S$2=Constr_20MGD,SUMIF(Full_Project,'Financial Summary (2017)'!$A$3,Full_Constr),0))</f>
        <v>0</v>
      </c>
      <c r="T6" s="290">
        <f>IF(CD_20MGD/12&gt;1,IF(OR(T$2=Constr_20MGD,AND(T$2&gt;Constr_20MGD,T$2&lt;=Constr_20MGD+CD_20MGD/12)),SUMIF(Full_Project,'Financial Summary (2017)'!$A$3,Full_Constr)/ROUNDUP((CD_20MGD+F_20MGD)/12,0),0),IF(T$2=Constr_20MGD,SUMIF(Full_Project,'Financial Summary (2017)'!$A$3,Full_Constr),0))</f>
        <v>0</v>
      </c>
      <c r="U6" s="290">
        <f>IF(CD_20MGD/12&gt;1,IF(OR(U$2=Constr_20MGD,AND(U$2&gt;Constr_20MGD,U$2&lt;=Constr_20MGD+CD_20MGD/12)),SUMIF(Full_Project,'Financial Summary (2017)'!$A$3,Full_Constr)/ROUNDUP((CD_20MGD+F_20MGD)/12,0),0),IF(U$2=Constr_20MGD,SUMIF(Full_Project,'Financial Summary (2017)'!$A$3,Full_Constr),0))</f>
        <v>0</v>
      </c>
      <c r="V6" s="290">
        <f>IF(CD_20MGD/12&gt;1,IF(OR(V$2=Constr_20MGD,AND(V$2&gt;Constr_20MGD,V$2&lt;=Constr_20MGD+CD_20MGD/12)),SUMIF(Full_Project,'Financial Summary (2017)'!$A$3,Full_Constr)/ROUNDUP((CD_20MGD+F_20MGD)/12,0),0),IF(V$2=Constr_20MGD,SUMIF(Full_Project,'Financial Summary (2017)'!$A$3,Full_Constr),0))</f>
        <v>0</v>
      </c>
      <c r="W6" s="290">
        <f>IF(CD_20MGD/12&gt;1,IF(OR(W$2=Constr_20MGD,AND(W$2&gt;Constr_20MGD,W$2&lt;=Constr_20MGD+CD_20MGD/12)),SUMIF(Full_Project,'Financial Summary (2017)'!$A$3,Full_Constr)/ROUNDUP((CD_20MGD+F_20MGD)/12,0),0),IF(W$2=Constr_20MGD,SUMIF(Full_Project,'Financial Summary (2017)'!$A$3,Full_Constr),0))</f>
        <v>0</v>
      </c>
      <c r="X6" s="291">
        <f t="shared" si="1"/>
        <v>12570110</v>
      </c>
    </row>
    <row r="7" spans="1:24" ht="13.8" x14ac:dyDescent="0.3">
      <c r="A7" s="32"/>
      <c r="B7" s="31" t="s">
        <v>4</v>
      </c>
      <c r="C7" s="33"/>
      <c r="D7" s="290">
        <f t="shared" ref="D7:E7" si="2">SUM(D4:D6)</f>
        <v>0</v>
      </c>
      <c r="E7" s="290">
        <f t="shared" si="2"/>
        <v>2304520.1666666665</v>
      </c>
      <c r="F7" s="290">
        <f>SUM(F4:F6)</f>
        <v>6704058.666666667</v>
      </c>
      <c r="G7" s="290">
        <f t="shared" ref="G7:W7" si="3">SUM(G4:G6)</f>
        <v>6704058.666666667</v>
      </c>
      <c r="H7" s="290">
        <f t="shared" si="3"/>
        <v>0</v>
      </c>
      <c r="I7" s="290">
        <f t="shared" si="3"/>
        <v>0</v>
      </c>
      <c r="J7" s="290">
        <f t="shared" si="3"/>
        <v>0</v>
      </c>
      <c r="K7" s="290">
        <f t="shared" si="3"/>
        <v>0</v>
      </c>
      <c r="L7" s="290">
        <f t="shared" si="3"/>
        <v>0</v>
      </c>
      <c r="M7" s="290">
        <f t="shared" si="3"/>
        <v>0</v>
      </c>
      <c r="N7" s="290">
        <f t="shared" si="3"/>
        <v>0</v>
      </c>
      <c r="O7" s="403">
        <f t="shared" si="3"/>
        <v>0</v>
      </c>
      <c r="P7" s="290">
        <f t="shared" si="3"/>
        <v>0</v>
      </c>
      <c r="Q7" s="290">
        <f t="shared" si="3"/>
        <v>0</v>
      </c>
      <c r="R7" s="290">
        <f t="shared" si="3"/>
        <v>0</v>
      </c>
      <c r="S7" s="290">
        <f t="shared" si="3"/>
        <v>0</v>
      </c>
      <c r="T7" s="290">
        <f t="shared" si="3"/>
        <v>0</v>
      </c>
      <c r="U7" s="290">
        <f t="shared" si="3"/>
        <v>0</v>
      </c>
      <c r="V7" s="290">
        <f t="shared" si="3"/>
        <v>0</v>
      </c>
      <c r="W7" s="290">
        <f t="shared" si="3"/>
        <v>0</v>
      </c>
      <c r="X7" s="291">
        <f t="shared" si="1"/>
        <v>15712637.5</v>
      </c>
    </row>
    <row r="8" spans="1:24" ht="13.8" x14ac:dyDescent="0.3">
      <c r="A8" s="32" t="s">
        <v>71</v>
      </c>
      <c r="B8" s="31"/>
      <c r="C8" s="33"/>
      <c r="D8" s="35"/>
      <c r="E8" s="35"/>
      <c r="F8" s="35"/>
      <c r="G8" s="35"/>
      <c r="H8" s="35"/>
      <c r="I8" s="35"/>
      <c r="J8" s="35"/>
      <c r="K8" s="35"/>
      <c r="L8" s="35"/>
      <c r="M8" s="35"/>
      <c r="N8" s="35"/>
      <c r="O8" s="404"/>
      <c r="P8" s="35"/>
      <c r="Q8" s="35"/>
      <c r="R8" s="35"/>
      <c r="S8" s="35"/>
      <c r="T8" s="35"/>
      <c r="U8" s="35"/>
      <c r="V8" s="35"/>
      <c r="W8" s="35"/>
      <c r="X8" s="150"/>
    </row>
    <row r="9" spans="1:24" ht="13.8" x14ac:dyDescent="0.3">
      <c r="A9" s="32"/>
      <c r="B9" s="31" t="s">
        <v>273</v>
      </c>
      <c r="C9" s="33"/>
      <c r="D9" s="290">
        <f>IF(DD_Safety/12&gt;1,IF(OR(D$2=Design_Safety,AND(D$2&gt;Design_Safety,D$2&lt;=Design_Safety+DD_Safety/12)),SUMIF(Full_Project,'Financial Summary (2017)'!$A$8,Full_Design)/ROUNDUP(DD_Safety/12,0),0),IF(D$2=Design_Safety,SUMIF(Full_Project,'Financial Summary (2017)'!$A$8,Full_Design),0))</f>
        <v>0</v>
      </c>
      <c r="E9" s="290">
        <f>IF(DD_Safety/12&gt;1,IF(OR(E$2=Design_Safety,AND(E$2&gt;Design_Safety,E$2&lt;=Design_Safety+DD_Safety/12)),SUMIF(Full_Project,'Financial Summary (2017)'!$A$8,Full_Design)/ROUNDUP(DD_Safety/12,0),0),IF(E$2=Design_Safety,SUMIF(Full_Project,'Financial Summary (2017)'!$A$8,Full_Design),0))</f>
        <v>0</v>
      </c>
      <c r="F9" s="290">
        <f>IF(DD_Safety/12&gt;1,IF(OR(F$2=Design_Safety,AND(F$2&gt;Design_Safety,F$2&lt;=Design_Safety+DD_Safety/12)),SUMIF(Full_Project,'Financial Summary (2017)'!$A$8,Full_Design)/ROUNDUP(DD_Safety/12,0),0),IF(F$2=Design_Safety,SUMIF(Full_Project,'Financial Summary (2017)'!$A$8,Full_Design),0))</f>
        <v>0</v>
      </c>
      <c r="G9" s="290">
        <f>IF(DD_Safety/12&gt;1,IF(OR(G$2=Design_Safety,AND(G$2&gt;Design_Safety,G$2&lt;=Design_Safety+DD_Safety/12)),SUMIF(Full_Project,'Financial Summary (2017)'!$A$8,Full_Design)/ROUNDUP(DD_Safety/12,0),0),IF(G$2=Design_Safety,SUMIF(Full_Project,'Financial Summary (2017)'!$A$8,Full_Design),0))</f>
        <v>0</v>
      </c>
      <c r="H9" s="290">
        <f>IF(DD_Safety/12&gt;1,IF(OR(H$2=Design_Safety,AND(H$2&gt;Design_Safety,H$2&lt;=Design_Safety+DD_Safety/12)),SUMIF(Full_Project,'Financial Summary (2017)'!$A$8,Full_Design)/ROUNDUP(DD_Safety/12,0),0),IF(H$2=Design_Safety,SUMIF(Full_Project,'Financial Summary (2017)'!$A$8,Full_Design),0))</f>
        <v>0</v>
      </c>
      <c r="I9" s="290">
        <f>IF(DD_Safety/12&gt;1,IF(OR(I$2=Design_Safety,AND(I$2&gt;Design_Safety,I$2&lt;=Design_Safety+DD_Safety/12)),SUMIF(Full_Project,'Financial Summary (2017)'!$A$8,Full_Design)/ROUNDUP(DD_Safety/12,0),0),IF(I$2=Design_Safety,SUMIF(Full_Project,'Financial Summary (2017)'!$A$8,Full_Design),0))</f>
        <v>0</v>
      </c>
      <c r="J9" s="290">
        <f>IF(DD_Safety/12&gt;1,IF(OR(J$2=Design_Safety,AND(J$2&gt;Design_Safety,J$2&lt;=Design_Safety+DD_Safety/12)),SUMIF(Full_Project,'Financial Summary (2017)'!$A$8,Full_Design)/ROUNDUP(DD_Safety/12,0),0),IF(J$2=Design_Safety,SUMIF(Full_Project,'Financial Summary (2017)'!$A$8,Full_Design),0))</f>
        <v>0</v>
      </c>
      <c r="K9" s="290">
        <f>IF(DD_Safety/12&gt;1,IF(OR(K$2=Design_Safety,AND(K$2&gt;Design_Safety,K$2&lt;=Design_Safety+DD_Safety/12)),SUMIF(Full_Project,'Financial Summary (2017)'!$A$8,Full_Design)/ROUNDUP(DD_Safety/12,0),0),IF(K$2=Design_Safety,SUMIF(Full_Project,'Financial Summary (2017)'!$A$8,Full_Design),0))</f>
        <v>0</v>
      </c>
      <c r="L9" s="290">
        <f>IF(DD_Safety/12&gt;1,IF(OR(L$2=Design_Safety,AND(L$2&gt;Design_Safety,L$2&lt;=Design_Safety+DD_Safety/12)),SUMIF(Full_Project,'Financial Summary (2017)'!$A$8,Full_Design)/ROUNDUP(DD_Safety/12,0),0),IF(L$2=Design_Safety,SUMIF(Full_Project,'Financial Summary (2017)'!$A$8,Full_Design),0))</f>
        <v>0</v>
      </c>
      <c r="M9" s="290">
        <f>IF(DD_Safety/12&gt;1,IF(OR(M$2=Design_Safety,AND(M$2&gt;Design_Safety,M$2&lt;=Design_Safety+DD_Safety/12)),SUMIF(Full_Project,'Financial Summary (2017)'!$A$8,Full_Design)/ROUNDUP(DD_Safety/12,0),0),IF(M$2=Design_Safety,SUMIF(Full_Project,'Financial Summary (2017)'!$A$8,Full_Design),0))</f>
        <v>0</v>
      </c>
      <c r="N9" s="290">
        <f>IF(DD_Safety/12&gt;1,IF(OR(N$2=Design_Safety,AND(N$2&gt;Design_Safety,N$2&lt;=Design_Safety+DD_Safety/12)),SUMIF(Full_Project,'Financial Summary (2017)'!$A$8,Full_Design)/ROUNDUP(DD_Safety/12,0),0),IF(N$2=Design_Safety,SUMIF(Full_Project,'Financial Summary (2017)'!$A$8,Full_Design),0))</f>
        <v>0</v>
      </c>
      <c r="O9" s="403">
        <f>IF(DD_Safety/12&gt;1,IF(OR(O$2=Design_Safety,AND(O$2&gt;Design_Safety,O$2&lt;=Design_Safety+DD_Safety/12)),SUMIF(Full_Project,'Financial Summary (2017)'!$A$8,Full_Design)/ROUNDUP(DD_Safety/12,0),0),IF(O$2=Design_Safety,SUMIF(Full_Project,'Financial Summary (2017)'!$A$8,Full_Design),0))</f>
        <v>0</v>
      </c>
      <c r="P9" s="290">
        <f>IF(DD_Safety/12&gt;1,IF(OR(P$2=Design_Safety,AND(P$2&gt;Design_Safety,P$2&lt;=Design_Safety+DD_Safety/12)),SUMIF(Full_Project,'Financial Summary (2017)'!$A$8,Full_Design)/ROUNDUP(DD_Safety/12,0),0),IF(P$2=Design_Safety,SUMIF(Full_Project,'Financial Summary (2017)'!$A$8,Full_Design),0))</f>
        <v>0</v>
      </c>
      <c r="Q9" s="290">
        <f>IF(DD_Safety/12&gt;1,IF(OR(Q$2=Design_Safety,AND(Q$2&gt;Design_Safety,Q$2&lt;=Design_Safety+DD_Safety/12)),SUMIF(Full_Project,'Financial Summary (2017)'!$A$8,Full_Design)/ROUNDUP(DD_Safety/12,0),0),IF(Q$2=Design_Safety,SUMIF(Full_Project,'Financial Summary (2017)'!$A$8,Full_Design),0))</f>
        <v>0</v>
      </c>
      <c r="R9" s="290">
        <f>IF(DD_Safety/12&gt;1,IF(OR(R$2=Design_Safety,AND(R$2&gt;Design_Safety,R$2&lt;=Design_Safety+DD_Safety/12)),SUMIF(Full_Project,'Financial Summary (2017)'!$A$8,Full_Design)/ROUNDUP(DD_Safety/12,0),0),IF(R$2=Design_Safety,SUMIF(Full_Project,'Financial Summary (2017)'!$A$8,Full_Design),0))</f>
        <v>0</v>
      </c>
      <c r="S9" s="290">
        <f>IF(DD_Safety/12&gt;1,IF(OR(S$2=Design_Safety,AND(S$2&gt;Design_Safety,S$2&lt;=Design_Safety+DD_Safety/12)),SUMIF(Full_Project,'Financial Summary (2017)'!$A$8,Full_Design)/ROUNDUP(DD_Safety/12,0),0),IF(S$2=Design_Safety,SUMIF(Full_Project,'Financial Summary (2017)'!$A$8,Full_Design),0))</f>
        <v>0</v>
      </c>
      <c r="T9" s="290">
        <f>IF(DD_Safety/12&gt;1,IF(OR(T$2=Design_Safety,AND(T$2&gt;Design_Safety,T$2&lt;=Design_Safety+DD_Safety/12)),SUMIF(Full_Project,'Financial Summary (2017)'!$A$8,Full_Design)/ROUNDUP(DD_Safety/12,0),0),IF(T$2=Design_Safety,SUMIF(Full_Project,'Financial Summary (2017)'!$A$8,Full_Design),0))</f>
        <v>0</v>
      </c>
      <c r="U9" s="290">
        <f>IF(DD_Safety/12&gt;1,IF(OR(U$2=Design_Safety,AND(U$2&gt;Design_Safety,U$2&lt;=Design_Safety+DD_Safety/12)),SUMIF(Full_Project,'Financial Summary (2017)'!$A$8,Full_Design)/ROUNDUP(DD_Safety/12,0),0),IF(U$2=Design_Safety,SUMIF(Full_Project,'Financial Summary (2017)'!$A$8,Full_Design),0))</f>
        <v>0</v>
      </c>
      <c r="V9" s="290">
        <f>IF(DD_Safety/12&gt;1,IF(OR(V$2=Design_Safety,AND(V$2&gt;Design_Safety,V$2&lt;=Design_Safety+DD_Safety/12)),SUMIF(Full_Project,'Financial Summary (2017)'!$A$8,Full_Design)/ROUNDUP(DD_Safety/12,0),0),IF(V$2=Design_Safety,SUMIF(Full_Project,'Financial Summary (2017)'!$A$8,Full_Design),0))</f>
        <v>0</v>
      </c>
      <c r="W9" s="290">
        <f>IF(DD_Safety/12&gt;1,IF(OR(W$2=Design_Safety,AND(W$2&gt;Design_Safety,W$2&lt;=Design_Safety+DD_Safety/12)),SUMIF(Full_Project,'Financial Summary (2017)'!$A$8,Full_Design)/ROUNDUP(DD_Safety/12,0),0),IF(W$2=Design_Safety,SUMIF(Full_Project,'Financial Summary (2017)'!$A$8,Full_Design),0))</f>
        <v>0</v>
      </c>
      <c r="X9" s="150">
        <f>SUM(D9:W9)</f>
        <v>0</v>
      </c>
    </row>
    <row r="10" spans="1:24" ht="13.8" x14ac:dyDescent="0.3">
      <c r="A10" s="32"/>
      <c r="B10" s="31" t="s">
        <v>272</v>
      </c>
      <c r="C10" s="33"/>
      <c r="D10" s="35">
        <f t="shared" ref="D10:W10" si="4">IF(OR(D$2=Design_Safety,AND(D$2&gt;Design_Safety,D$2&lt;Complete_Safety)),SUMIF(Full_Project,$A$8,Full_Admin)/(Duration_Safety),0)</f>
        <v>0</v>
      </c>
      <c r="E10" s="35">
        <f t="shared" si="4"/>
        <v>0</v>
      </c>
      <c r="F10" s="35">
        <f t="shared" si="4"/>
        <v>0</v>
      </c>
      <c r="G10" s="35">
        <f t="shared" si="4"/>
        <v>28006.95</v>
      </c>
      <c r="H10" s="35">
        <f t="shared" si="4"/>
        <v>28006.95</v>
      </c>
      <c r="I10" s="35">
        <f t="shared" si="4"/>
        <v>0</v>
      </c>
      <c r="J10" s="35">
        <f t="shared" si="4"/>
        <v>0</v>
      </c>
      <c r="K10" s="35">
        <f t="shared" si="4"/>
        <v>0</v>
      </c>
      <c r="L10" s="35">
        <f t="shared" si="4"/>
        <v>0</v>
      </c>
      <c r="M10" s="35">
        <f t="shared" si="4"/>
        <v>0</v>
      </c>
      <c r="N10" s="35">
        <f t="shared" si="4"/>
        <v>0</v>
      </c>
      <c r="O10" s="404">
        <f t="shared" si="4"/>
        <v>0</v>
      </c>
      <c r="P10" s="35">
        <f t="shared" si="4"/>
        <v>0</v>
      </c>
      <c r="Q10" s="35">
        <f t="shared" si="4"/>
        <v>0</v>
      </c>
      <c r="R10" s="35">
        <f t="shared" si="4"/>
        <v>0</v>
      </c>
      <c r="S10" s="35">
        <f t="shared" si="4"/>
        <v>0</v>
      </c>
      <c r="T10" s="35">
        <f t="shared" si="4"/>
        <v>0</v>
      </c>
      <c r="U10" s="35">
        <f t="shared" si="4"/>
        <v>0</v>
      </c>
      <c r="V10" s="35">
        <f t="shared" si="4"/>
        <v>0</v>
      </c>
      <c r="W10" s="35">
        <f t="shared" si="4"/>
        <v>0</v>
      </c>
      <c r="X10" s="150">
        <f t="shared" ref="X10:X12" si="5">SUM(D10:W10)</f>
        <v>56013.9</v>
      </c>
    </row>
    <row r="11" spans="1:24" ht="13.8" x14ac:dyDescent="0.3">
      <c r="A11" s="32"/>
      <c r="B11" s="31" t="s">
        <v>5</v>
      </c>
      <c r="C11" s="33"/>
      <c r="D11" s="35">
        <f>IF(CD_Safety/12&gt;1,IF(OR(D$2=Constr_Safety,AND(D$2&gt;Constr_Safety,D$2&lt;=Constr_Safety+CD_Safety/12)),SUMIF(Full_Project,'Financial Summary (2017)'!$A$8,Full_Constr)/ROUNDUP((CD_Safety+F_Safety)/12,0),0),IF(D$2=Constr_Safety,SUMIF(Full_Project,'Financial Summary (2017)'!$A$8,Full_Constr),0))</f>
        <v>0</v>
      </c>
      <c r="E11" s="35">
        <f>IF(CD_Safety/12&gt;1,IF(OR(E$2=Constr_Safety,AND(E$2&gt;Constr_Safety,E$2&lt;=Constr_Safety+CD_Safety/12)),SUMIF(Full_Project,'Financial Summary (2017)'!$A$8,Full_Constr)/ROUNDUP((CD_Safety+F_Safety)/12,0),0),IF(E$2=Constr_Safety,SUMIF(Full_Project,'Financial Summary (2017)'!$A$8,Full_Constr),0))</f>
        <v>0</v>
      </c>
      <c r="F11" s="35">
        <f>IF(CD_Safety/12&gt;1,IF(OR(F$2=Constr_Safety,AND(F$2&gt;Constr_Safety,F$2&lt;=Constr_Safety+CD_Safety/12)),SUMIF(Full_Project,'Financial Summary (2017)'!$A$8,Full_Constr)/ROUNDUP((CD_Safety+F_Safety)/12,0),0),IF(F$2=Constr_Safety,SUMIF(Full_Project,'Financial Summary (2017)'!$A$8,Full_Constr),0))</f>
        <v>0</v>
      </c>
      <c r="G11" s="35">
        <f>IF(CD_Safety/12&gt;1,IF(OR(G$2=Constr_Safety,AND(G$2&gt;Constr_Safety,G$2&lt;=Constr_Safety+CD_Safety/12)),SUMIF(Full_Project,'Financial Summary (2017)'!$A$8,Full_Constr)/ROUNDUP((CD_Safety+F_Safety)/12,0),0),IF(G$2=Constr_Safety,SUMIF(Full_Project,'Financial Summary (2017)'!$A$8,Full_Constr),0))</f>
        <v>0</v>
      </c>
      <c r="H11" s="35">
        <f>IF(CD_Safety/12&gt;1,IF(OR(H$2=Constr_Safety,AND(H$2&gt;Constr_Safety,H$2&lt;=Constr_Safety+CD_Safety/12)),SUMIF(Full_Project,'Financial Summary (2017)'!$A$8,Full_Constr)/ROUNDUP((CD_Safety+F_Safety)/12,0),0),IF(H$2=Constr_Safety,SUMIF(Full_Project,'Financial Summary (2017)'!$A$8,Full_Constr),0))</f>
        <v>560139</v>
      </c>
      <c r="I11" s="35">
        <f>IF(CD_Safety/12&gt;1,IF(OR(I$2=Constr_Safety,AND(I$2&gt;Constr_Safety,I$2&lt;=Constr_Safety+CD_Safety/12)),SUMIF(Full_Project,'Financial Summary (2017)'!$A$8,Full_Constr)/ROUNDUP((CD_Safety+F_Safety)/12,0),0),IF(I$2=Constr_Safety,SUMIF(Full_Project,'Financial Summary (2017)'!$A$8,Full_Constr),0))</f>
        <v>0</v>
      </c>
      <c r="J11" s="35">
        <f>IF(CD_Safety/12&gt;1,IF(OR(J$2=Constr_Safety,AND(J$2&gt;Constr_Safety,J$2&lt;=Constr_Safety+CD_Safety/12)),SUMIF(Full_Project,'Financial Summary (2017)'!$A$8,Full_Constr)/ROUNDUP((CD_Safety+F_Safety)/12,0),0),IF(J$2=Constr_Safety,SUMIF(Full_Project,'Financial Summary (2017)'!$A$8,Full_Constr),0))</f>
        <v>0</v>
      </c>
      <c r="K11" s="35">
        <f>IF(CD_Safety/12&gt;1,IF(OR(K$2=Constr_Safety,AND(K$2&gt;Constr_Safety,K$2&lt;=Constr_Safety+CD_Safety/12)),SUMIF(Full_Project,'Financial Summary (2017)'!$A$8,Full_Constr)/ROUNDUP((CD_Safety+F_Safety)/12,0),0),IF(K$2=Constr_Safety,SUMIF(Full_Project,'Financial Summary (2017)'!$A$8,Full_Constr),0))</f>
        <v>0</v>
      </c>
      <c r="L11" s="35">
        <f>IF(CD_Safety/12&gt;1,IF(OR(L$2=Constr_Safety,AND(L$2&gt;Constr_Safety,L$2&lt;=Constr_Safety+CD_Safety/12)),SUMIF(Full_Project,'Financial Summary (2017)'!$A$8,Full_Constr)/ROUNDUP((CD_Safety+F_Safety)/12,0),0),IF(L$2=Constr_Safety,SUMIF(Full_Project,'Financial Summary (2017)'!$A$8,Full_Constr),0))</f>
        <v>0</v>
      </c>
      <c r="M11" s="35">
        <f>IF(CD_Safety/12&gt;1,IF(OR(M$2=Constr_Safety,AND(M$2&gt;Constr_Safety,M$2&lt;=Constr_Safety+CD_Safety/12)),SUMIF(Full_Project,'Financial Summary (2017)'!$A$8,Full_Constr)/ROUNDUP((CD_Safety+F_Safety)/12,0),0),IF(M$2=Constr_Safety,SUMIF(Full_Project,'Financial Summary (2017)'!$A$8,Full_Constr),0))</f>
        <v>0</v>
      </c>
      <c r="N11" s="35">
        <f>IF(CD_Safety/12&gt;1,IF(OR(N$2=Constr_Safety,AND(N$2&gt;Constr_Safety,N$2&lt;=Constr_Safety+CD_Safety/12)),SUMIF(Full_Project,'Financial Summary (2017)'!$A$8,Full_Constr)/ROUNDUP((CD_Safety+F_Safety)/12,0),0),IF(N$2=Constr_Safety,SUMIF(Full_Project,'Financial Summary (2017)'!$A$8,Full_Constr),0))</f>
        <v>0</v>
      </c>
      <c r="O11" s="35">
        <f>IF(CD_Safety/12&gt;1,IF(OR(O$2=Constr_Safety,AND(O$2&gt;Constr_Safety,O$2&lt;=Constr_Safety+CD_Safety/12)),SUMIF(Full_Project,'Financial Summary (2017)'!$A$8,Full_Constr)/ROUNDUP((CD_Safety+F_Safety)/12,0),0),IF(O$2=Constr_Safety,SUMIF(Full_Project,'Financial Summary (2017)'!$A$8,Full_Constr),0))</f>
        <v>0</v>
      </c>
      <c r="P11" s="35">
        <f>IF(CD_Safety/12&gt;1,IF(OR(P$2=Constr_Safety,AND(P$2&gt;Constr_Safety,P$2&lt;=Constr_Safety+CD_Safety/12)),SUMIF(Full_Project,'Financial Summary (2017)'!$A$8,Full_Constr)/ROUNDUP((CD_Safety+F_Safety)/12,0),0),IF(P$2=Constr_Safety,SUMIF(Full_Project,'Financial Summary (2017)'!$A$8,Full_Constr),0))</f>
        <v>0</v>
      </c>
      <c r="Q11" s="35">
        <f>IF(CD_Safety/12&gt;1,IF(OR(Q$2=Constr_Safety,AND(Q$2&gt;Constr_Safety,Q$2&lt;=Constr_Safety+CD_Safety/12)),SUMIF(Full_Project,'Financial Summary (2017)'!$A$8,Full_Constr)/ROUNDUP((CD_Safety+F_Safety)/12,0),0),IF(Q$2=Constr_Safety,SUMIF(Full_Project,'Financial Summary (2017)'!$A$8,Full_Constr),0))</f>
        <v>0</v>
      </c>
      <c r="R11" s="35">
        <f>IF(CD_Safety/12&gt;1,IF(OR(R$2=Constr_Safety,AND(R$2&gt;Constr_Safety,R$2&lt;=Constr_Safety+CD_Safety/12)),SUMIF(Full_Project,'Financial Summary (2017)'!$A$8,Full_Constr)/ROUNDUP((CD_Safety+F_Safety)/12,0),0),IF(R$2=Constr_Safety,SUMIF(Full_Project,'Financial Summary (2017)'!$A$8,Full_Constr),0))</f>
        <v>0</v>
      </c>
      <c r="S11" s="35">
        <f>IF(CD_Safety/12&gt;1,IF(OR(S$2=Constr_Safety,AND(S$2&gt;Constr_Safety,S$2&lt;=Constr_Safety+CD_Safety/12)),SUMIF(Full_Project,'Financial Summary (2017)'!$A$8,Full_Constr)/ROUNDUP((CD_Safety+F_Safety)/12,0),0),IF(S$2=Constr_Safety,SUMIF(Full_Project,'Financial Summary (2017)'!$A$8,Full_Constr),0))</f>
        <v>0</v>
      </c>
      <c r="T11" s="35">
        <f>IF(CD_Safety/12&gt;1,IF(OR(T$2=Constr_Safety,AND(T$2&gt;Constr_Safety,T$2&lt;=Constr_Safety+CD_Safety/12)),SUMIF(Full_Project,'Financial Summary (2017)'!$A$8,Full_Constr)/ROUNDUP((CD_Safety+F_Safety)/12,0),0),IF(T$2=Constr_Safety,SUMIF(Full_Project,'Financial Summary (2017)'!$A$8,Full_Constr),0))</f>
        <v>0</v>
      </c>
      <c r="U11" s="35">
        <f>IF(CD_Safety/12&gt;1,IF(OR(U$2=Constr_Safety,AND(U$2&gt;Constr_Safety,U$2&lt;=Constr_Safety+CD_Safety/12)),SUMIF(Full_Project,'Financial Summary (2017)'!$A$8,Full_Constr)/ROUNDUP((CD_Safety+F_Safety)/12,0),0),IF(U$2=Constr_Safety,SUMIF(Full_Project,'Financial Summary (2017)'!$A$8,Full_Constr),0))</f>
        <v>0</v>
      </c>
      <c r="V11" s="35">
        <f>IF(CD_Safety/12&gt;1,IF(OR(V$2=Constr_Safety,AND(V$2&gt;Constr_Safety,V$2&lt;=Constr_Safety+CD_Safety/12)),SUMIF(Full_Project,'Financial Summary (2017)'!$A$8,Full_Constr)/ROUNDUP((CD_Safety+F_Safety)/12,0),0),IF(V$2=Constr_Safety,SUMIF(Full_Project,'Financial Summary (2017)'!$A$8,Full_Constr),0))</f>
        <v>0</v>
      </c>
      <c r="W11" s="35">
        <f>IF(CD_Safety/12&gt;1,IF(OR(W$2=Constr_Safety,AND(W$2&gt;Constr_Safety,W$2&lt;=Constr_Safety+CD_Safety/12)),SUMIF(Full_Project,'Financial Summary (2017)'!$A$8,Full_Constr)/ROUNDUP((CD_Safety+F_Safety)/12,0),0),IF(W$2=Constr_Safety,SUMIF(Full_Project,'Financial Summary (2017)'!$A$8,Full_Constr),0))</f>
        <v>0</v>
      </c>
      <c r="X11" s="150">
        <f t="shared" si="5"/>
        <v>560139</v>
      </c>
    </row>
    <row r="12" spans="1:24" ht="13.8" x14ac:dyDescent="0.3">
      <c r="A12" s="32"/>
      <c r="B12" s="31" t="s">
        <v>4</v>
      </c>
      <c r="C12" s="33"/>
      <c r="D12" s="35">
        <f t="shared" ref="D12:W12" si="6">SUM(D9:D11)</f>
        <v>0</v>
      </c>
      <c r="E12" s="35">
        <f t="shared" si="6"/>
        <v>0</v>
      </c>
      <c r="F12" s="35">
        <f t="shared" si="6"/>
        <v>0</v>
      </c>
      <c r="G12" s="35">
        <f t="shared" si="6"/>
        <v>28006.95</v>
      </c>
      <c r="H12" s="35">
        <f t="shared" si="6"/>
        <v>588145.94999999995</v>
      </c>
      <c r="I12" s="35">
        <f t="shared" si="6"/>
        <v>0</v>
      </c>
      <c r="J12" s="35">
        <f t="shared" si="6"/>
        <v>0</v>
      </c>
      <c r="K12" s="35">
        <f t="shared" si="6"/>
        <v>0</v>
      </c>
      <c r="L12" s="35">
        <f t="shared" si="6"/>
        <v>0</v>
      </c>
      <c r="M12" s="35">
        <f t="shared" si="6"/>
        <v>0</v>
      </c>
      <c r="N12" s="35">
        <f t="shared" si="6"/>
        <v>0</v>
      </c>
      <c r="O12" s="404">
        <f t="shared" si="6"/>
        <v>0</v>
      </c>
      <c r="P12" s="35">
        <f t="shared" si="6"/>
        <v>0</v>
      </c>
      <c r="Q12" s="35">
        <f t="shared" si="6"/>
        <v>0</v>
      </c>
      <c r="R12" s="35">
        <f t="shared" si="6"/>
        <v>0</v>
      </c>
      <c r="S12" s="35">
        <f t="shared" si="6"/>
        <v>0</v>
      </c>
      <c r="T12" s="35">
        <f t="shared" si="6"/>
        <v>0</v>
      </c>
      <c r="U12" s="35">
        <f t="shared" si="6"/>
        <v>0</v>
      </c>
      <c r="V12" s="35">
        <f t="shared" si="6"/>
        <v>0</v>
      </c>
      <c r="W12" s="35">
        <f t="shared" si="6"/>
        <v>0</v>
      </c>
      <c r="X12" s="150">
        <f t="shared" si="5"/>
        <v>616152.89999999991</v>
      </c>
    </row>
    <row r="13" spans="1:24" ht="13.8" x14ac:dyDescent="0.3">
      <c r="A13" s="32" t="s">
        <v>138</v>
      </c>
      <c r="B13" s="31"/>
      <c r="C13" s="34"/>
      <c r="D13" s="35"/>
      <c r="E13" s="35"/>
      <c r="F13" s="35"/>
      <c r="G13" s="35"/>
      <c r="H13" s="35"/>
      <c r="I13" s="35"/>
      <c r="J13" s="35"/>
      <c r="K13" s="35"/>
      <c r="L13" s="35"/>
      <c r="M13" s="35"/>
      <c r="N13" s="35"/>
      <c r="O13" s="404"/>
      <c r="P13" s="35"/>
      <c r="Q13" s="35"/>
      <c r="R13" s="35"/>
      <c r="S13" s="35"/>
      <c r="T13" s="35"/>
      <c r="U13" s="35"/>
      <c r="V13" s="35"/>
      <c r="W13" s="35"/>
      <c r="X13" s="150"/>
    </row>
    <row r="14" spans="1:24" ht="13.8" x14ac:dyDescent="0.3">
      <c r="A14" s="32"/>
      <c r="B14" s="31" t="s">
        <v>273</v>
      </c>
      <c r="C14" s="34"/>
      <c r="D14" s="290">
        <f>IF(DD_Seismic/12&gt;1,IF(OR(D$2=Design_Seismic,AND(D$2&gt;Design_Seismic,D$2&lt;=Design_Seismic+DD_Seismic/12)),SUMIF(Full_Project,'Financial Summary (2017)'!$A$13,Full_Design)/ROUNDUP(DD_Seismic/12,0),0),IF(D$2=Design_Seismic,SUMIF(Full_Project,'Financial Summary (2017)'!$A$13,Full_Design),0))</f>
        <v>0</v>
      </c>
      <c r="E14" s="290">
        <f>IF(DD_Seismic/12&gt;1,IF(OR(E$2=Design_Seismic,AND(E$2&gt;Design_Seismic,E$2&lt;=Design_Seismic+DD_Seismic/12)),SUMIF(Full_Project,'Financial Summary (2017)'!$A$13,Full_Design)/ROUNDUP(DD_Seismic/12,0),0),IF(E$2=Design_Seismic,SUMIF(Full_Project,'Financial Summary (2017)'!$A$13,Full_Design),0))</f>
        <v>0</v>
      </c>
      <c r="F14" s="290">
        <f>IF(DD_Seismic/12&gt;1,IF(OR(F$2=Design_Seismic,AND(F$2&gt;Design_Seismic,F$2&lt;=Design_Seismic+DD_Seismic/12)),SUMIF(Full_Project,'Financial Summary (2017)'!$A$13,Full_Design)/ROUNDUP(DD_Seismic/12,0),0),IF(F$2=Design_Seismic,SUMIF(Full_Project,'Financial Summary (2017)'!$A$13,Full_Design),0))</f>
        <v>0</v>
      </c>
      <c r="G14" s="290">
        <f>IF(DD_Seismic/12&gt;1,IF(OR(G$2=Design_Seismic,AND(G$2&gt;Design_Seismic,G$2&lt;=Design_Seismic+DD_Seismic/12)),SUMIF(Full_Project,'Financial Summary (2017)'!$A$13,Full_Design)/ROUNDUP(DD_Seismic/12,0),0),IF(G$2=Design_Seismic,SUMIF(Full_Project,'Financial Summary (2017)'!$A$13,Full_Design),0))</f>
        <v>138223.95000000001</v>
      </c>
      <c r="H14" s="290">
        <f>IF(DD_Seismic/12&gt;1,IF(OR(H$2=Design_Seismic,AND(H$2&gt;Design_Seismic,H$2&lt;=Design_Seismic+DD_Seismic/12)),SUMIF(Full_Project,'Financial Summary (2017)'!$A$13,Full_Design)/ROUNDUP(DD_Seismic/12,0),0),IF(H$2=Design_Seismic,SUMIF(Full_Project,'Financial Summary (2017)'!$A$13,Full_Design),0))</f>
        <v>0</v>
      </c>
      <c r="I14" s="290">
        <f>IF(DD_Seismic/12&gt;1,IF(OR(I$2=Design_Seismic,AND(I$2&gt;Design_Seismic,I$2&lt;=Design_Seismic+DD_Seismic/12)),SUMIF(Full_Project,'Financial Summary (2017)'!$A$13,Full_Design)/ROUNDUP(DD_Seismic/12,0),0),IF(I$2=Design_Seismic,SUMIF(Full_Project,'Financial Summary (2017)'!$A$13,Full_Design),0))</f>
        <v>0</v>
      </c>
      <c r="J14" s="290">
        <f>IF(DD_Seismic/12&gt;1,IF(OR(J$2=Design_Seismic,AND(J$2&gt;Design_Seismic,J$2&lt;=Design_Seismic+DD_Seismic/12)),SUMIF(Full_Project,'Financial Summary (2017)'!$A$13,Full_Design)/ROUNDUP(DD_Seismic/12,0),0),IF(J$2=Design_Seismic,SUMIF(Full_Project,'Financial Summary (2017)'!$A$13,Full_Design),0))</f>
        <v>0</v>
      </c>
      <c r="K14" s="290">
        <f>IF(DD_Seismic/12&gt;1,IF(OR(K$2=Design_Seismic,AND(K$2&gt;Design_Seismic,K$2&lt;=Design_Seismic+DD_Seismic/12)),SUMIF(Full_Project,'Financial Summary (2017)'!$A$13,Full_Design)/ROUNDUP(DD_Seismic/12,0),0),IF(K$2=Design_Seismic,SUMIF(Full_Project,'Financial Summary (2017)'!$A$13,Full_Design),0))</f>
        <v>0</v>
      </c>
      <c r="L14" s="290">
        <f>IF(DD_Seismic/12&gt;1,IF(OR(L$2=Design_Seismic,AND(L$2&gt;Design_Seismic,L$2&lt;=Design_Seismic+DD_Seismic/12)),SUMIF(Full_Project,'Financial Summary (2017)'!$A$13,Full_Design)/ROUNDUP(DD_Seismic/12,0),0),IF(L$2=Design_Seismic,SUMIF(Full_Project,'Financial Summary (2017)'!$A$13,Full_Design),0))</f>
        <v>0</v>
      </c>
      <c r="M14" s="290">
        <f>IF(DD_Seismic/12&gt;1,IF(OR(M$2=Design_Seismic,AND(M$2&gt;Design_Seismic,M$2&lt;=Design_Seismic+DD_Seismic/12)),SUMIF(Full_Project,'Financial Summary (2017)'!$A$13,Full_Design)/ROUNDUP(DD_Seismic/12,0),0),IF(M$2=Design_Seismic,SUMIF(Full_Project,'Financial Summary (2017)'!$A$13,Full_Design),0))</f>
        <v>0</v>
      </c>
      <c r="N14" s="290">
        <f>IF(DD_Seismic/12&gt;1,IF(OR(N$2=Design_Seismic,AND(N$2&gt;Design_Seismic,N$2&lt;=Design_Seismic+DD_Seismic/12)),SUMIF(Full_Project,'Financial Summary (2017)'!$A$13,Full_Design)/ROUNDUP(DD_Seismic/12,0),0),IF(N$2=Design_Seismic,SUMIF(Full_Project,'Financial Summary (2017)'!$A$13,Full_Design),0))</f>
        <v>0</v>
      </c>
      <c r="O14" s="403">
        <f>IF(DD_Seismic/12&gt;1,IF(OR(O$2=Design_Seismic,AND(O$2&gt;Design_Seismic,O$2&lt;=Design_Seismic+DD_Seismic/12)),SUMIF(Full_Project,'Financial Summary (2017)'!$A$13,Full_Design)/ROUNDUP(DD_Seismic/12,0),0),IF(O$2=Design_Seismic,SUMIF(Full_Project,'Financial Summary (2017)'!$A$13,Full_Design),0))</f>
        <v>0</v>
      </c>
      <c r="P14" s="290">
        <f>IF(DD_Seismic/12&gt;1,IF(OR(P$2=Design_Seismic,AND(P$2&gt;Design_Seismic,P$2&lt;=Design_Seismic+DD_Seismic/12)),SUMIF(Full_Project,'Financial Summary (2017)'!$A$13,Full_Design)/ROUNDUP(DD_Seismic/12,0),0),IF(P$2=Design_Seismic,SUMIF(Full_Project,'Financial Summary (2017)'!$A$13,Full_Design),0))</f>
        <v>0</v>
      </c>
      <c r="Q14" s="290">
        <f>IF(DD_Seismic/12&gt;1,IF(OR(Q$2=Design_Seismic,AND(Q$2&gt;Design_Seismic,Q$2&lt;=Design_Seismic+DD_Seismic/12)),SUMIF(Full_Project,'Financial Summary (2017)'!$A$13,Full_Design)/ROUNDUP(DD_Seismic/12,0),0),IF(Q$2=Design_Seismic,SUMIF(Full_Project,'Financial Summary (2017)'!$A$13,Full_Design),0))</f>
        <v>0</v>
      </c>
      <c r="R14" s="290">
        <f>IF(DD_Seismic/12&gt;1,IF(OR(R$2=Design_Seismic,AND(R$2&gt;Design_Seismic,R$2&lt;=Design_Seismic+DD_Seismic/12)),SUMIF(Full_Project,'Financial Summary (2017)'!$A$13,Full_Design)/ROUNDUP(DD_Seismic/12,0),0),IF(R$2=Design_Seismic,SUMIF(Full_Project,'Financial Summary (2017)'!$A$13,Full_Design),0))</f>
        <v>0</v>
      </c>
      <c r="S14" s="290">
        <f>IF(DD_Seismic/12&gt;1,IF(OR(S$2=Design_Seismic,AND(S$2&gt;Design_Seismic,S$2&lt;=Design_Seismic+DD_Seismic/12)),SUMIF(Full_Project,'Financial Summary (2017)'!$A$13,Full_Design)/ROUNDUP(DD_Seismic/12,0),0),IF(S$2=Design_Seismic,SUMIF(Full_Project,'Financial Summary (2017)'!$A$13,Full_Design),0))</f>
        <v>0</v>
      </c>
      <c r="T14" s="290">
        <f>IF(DD_Seismic/12&gt;1,IF(OR(T$2=Design_Seismic,AND(T$2&gt;Design_Seismic,T$2&lt;=Design_Seismic+DD_Seismic/12)),SUMIF(Full_Project,'Financial Summary (2017)'!$A$13,Full_Design)/ROUNDUP(DD_Seismic/12,0),0),IF(T$2=Design_Seismic,SUMIF(Full_Project,'Financial Summary (2017)'!$A$13,Full_Design),0))</f>
        <v>0</v>
      </c>
      <c r="U14" s="290">
        <f>IF(DD_Seismic/12&gt;1,IF(OR(U$2=Design_Seismic,AND(U$2&gt;Design_Seismic,U$2&lt;=Design_Seismic+DD_Seismic/12)),SUMIF(Full_Project,'Financial Summary (2017)'!$A$13,Full_Design)/ROUNDUP(DD_Seismic/12,0),0),IF(U$2=Design_Seismic,SUMIF(Full_Project,'Financial Summary (2017)'!$A$13,Full_Design),0))</f>
        <v>0</v>
      </c>
      <c r="V14" s="290">
        <f>IF(DD_Seismic/12&gt;1,IF(OR(V$2=Design_Seismic,AND(V$2&gt;Design_Seismic,V$2&lt;=Design_Seismic+DD_Seismic/12)),SUMIF(Full_Project,'Financial Summary (2017)'!$A$13,Full_Design)/ROUNDUP(DD_Seismic/12,0),0),IF(V$2=Design_Seismic,SUMIF(Full_Project,'Financial Summary (2017)'!$A$13,Full_Design),0))</f>
        <v>0</v>
      </c>
      <c r="W14" s="290">
        <f>IF(DD_Seismic/12&gt;1,IF(OR(W$2=Design_Seismic,AND(W$2&gt;Design_Seismic,W$2&lt;=Design_Seismic+DD_Seismic/12)),SUMIF(Full_Project,'Financial Summary (2017)'!$A$13,Full_Design)/ROUNDUP(DD_Seismic/12,0),0),IF(W$2=Design_Seismic,SUMIF(Full_Project,'Financial Summary (2017)'!$A$13,Full_Design),0))</f>
        <v>0</v>
      </c>
      <c r="X14" s="150">
        <f>SUM(D14:W14)</f>
        <v>138223.95000000001</v>
      </c>
    </row>
    <row r="15" spans="1:24" ht="13.8" x14ac:dyDescent="0.3">
      <c r="A15" s="32"/>
      <c r="B15" s="31" t="s">
        <v>272</v>
      </c>
      <c r="C15" s="34"/>
      <c r="D15" s="35">
        <f t="shared" ref="D15:W15" si="7">IF(OR(D$2=Design_Seismic,AND(D$2&gt;Design_Seismic,D$2&lt;Complete_Seismic)),SUMIF(Full_Project,$A$13,Full_Admin)/(Duration_Seismic),0)</f>
        <v>0</v>
      </c>
      <c r="E15" s="35">
        <f t="shared" si="7"/>
        <v>0</v>
      </c>
      <c r="F15" s="35">
        <f t="shared" si="7"/>
        <v>0</v>
      </c>
      <c r="G15" s="35">
        <f t="shared" si="7"/>
        <v>46074.649999999994</v>
      </c>
      <c r="H15" s="35">
        <f t="shared" si="7"/>
        <v>46074.649999999994</v>
      </c>
      <c r="I15" s="35">
        <f t="shared" si="7"/>
        <v>0</v>
      </c>
      <c r="J15" s="35">
        <f t="shared" si="7"/>
        <v>0</v>
      </c>
      <c r="K15" s="35">
        <f t="shared" si="7"/>
        <v>0</v>
      </c>
      <c r="L15" s="35">
        <f t="shared" si="7"/>
        <v>0</v>
      </c>
      <c r="M15" s="35">
        <f t="shared" si="7"/>
        <v>0</v>
      </c>
      <c r="N15" s="35">
        <f t="shared" si="7"/>
        <v>0</v>
      </c>
      <c r="O15" s="404">
        <f t="shared" si="7"/>
        <v>0</v>
      </c>
      <c r="P15" s="35">
        <f t="shared" si="7"/>
        <v>0</v>
      </c>
      <c r="Q15" s="35">
        <f t="shared" si="7"/>
        <v>0</v>
      </c>
      <c r="R15" s="35">
        <f t="shared" si="7"/>
        <v>0</v>
      </c>
      <c r="S15" s="35">
        <f t="shared" si="7"/>
        <v>0</v>
      </c>
      <c r="T15" s="35">
        <f t="shared" si="7"/>
        <v>0</v>
      </c>
      <c r="U15" s="35">
        <f t="shared" si="7"/>
        <v>0</v>
      </c>
      <c r="V15" s="35">
        <f t="shared" si="7"/>
        <v>0</v>
      </c>
      <c r="W15" s="35">
        <f t="shared" si="7"/>
        <v>0</v>
      </c>
      <c r="X15" s="150">
        <f t="shared" ref="X15:X17" si="8">SUM(D15:W15)</f>
        <v>92149.299999999988</v>
      </c>
    </row>
    <row r="16" spans="1:24" ht="13.8" x14ac:dyDescent="0.3">
      <c r="A16" s="32"/>
      <c r="B16" s="31" t="s">
        <v>5</v>
      </c>
      <c r="C16" s="34"/>
      <c r="D16" s="35">
        <f>IF(CD_Seismic/12&gt;1,IF(OR(D$2=Constr_Seismic,AND(D$2&gt;Constr_Seismic,D$2&lt;=Constr_Seismic+CD_Seismic/12)),(SUMIF(Full_Project,'Financial Summary (2017)'!$A$13,Full_Constr))/ROUNDUP((CD_Seismic+F_Seismic)/12,0),0),IF(D$2=Constr_Seismic,SUMIF(Full_Project,'Financial Summary (2017)'!$A$13,Full_Constr),0))</f>
        <v>0</v>
      </c>
      <c r="E16" s="35">
        <f>IF(CD_Seismic/12&gt;1,IF(OR(E$2=Constr_Seismic,AND(E$2&gt;Constr_Seismic,E$2&lt;=Constr_Seismic+CD_Seismic/12)),(SUMIF(Full_Project,'Financial Summary (2017)'!$A$13,Full_Constr))/ROUNDUP((CD_Seismic+F_Seismic)/12,0),0),IF(E$2=Constr_Seismic,SUMIF(Full_Project,'Financial Summary (2017)'!$A$13,Full_Constr),0))</f>
        <v>0</v>
      </c>
      <c r="F16" s="35">
        <f>IF(CD_Seismic/12&gt;1,IF(OR(F$2=Constr_Seismic,AND(F$2&gt;Constr_Seismic,F$2&lt;=Constr_Seismic+CD_Seismic/12)),(SUMIF(Full_Project,'Financial Summary (2017)'!$A$13,Full_Constr))/ROUNDUP((CD_Seismic+F_Seismic)/12,0),0),IF(F$2=Constr_Seismic,SUMIF(Full_Project,'Financial Summary (2017)'!$A$13,Full_Constr),0))</f>
        <v>0</v>
      </c>
      <c r="G16" s="35">
        <f>IF(CD_Seismic/12&gt;1,IF(OR(G$2=Constr_Seismic,AND(G$2&gt;Constr_Seismic,G$2&lt;=Constr_Seismic+CD_Seismic/12)),(SUMIF(Full_Project,'Financial Summary (2017)'!$A$13,Full_Constr))/ROUNDUP((CD_Seismic+F_Seismic)/12,0),0),IF(G$2=Constr_Seismic,SUMIF(Full_Project,'Financial Summary (2017)'!$A$13,Full_Constr),0))</f>
        <v>0</v>
      </c>
      <c r="H16" s="35">
        <f>IF(CD_Seismic/12&gt;1,IF(OR(H$2=Constr_Seismic,AND(H$2&gt;Constr_Seismic,H$2&lt;=Constr_Seismic+CD_Seismic/12)),(SUMIF(Full_Project,'Financial Summary (2017)'!$A$13,Full_Constr))/ROUNDUP((CD_Seismic+F_Seismic)/12,0),0),IF(H$2=Constr_Seismic,SUMIF(Full_Project,'Financial Summary (2017)'!$A$13,Full_Constr),0))</f>
        <v>921493</v>
      </c>
      <c r="I16" s="35">
        <f>IF(CD_Seismic/12&gt;1,IF(OR(I$2=Constr_Seismic,AND(I$2&gt;Constr_Seismic,I$2&lt;=Constr_Seismic+CD_Seismic/12)),(SUMIF(Full_Project,'Financial Summary (2017)'!$A$13,Full_Constr))/ROUNDUP((CD_Seismic+F_Seismic)/12,0),0),IF(I$2=Constr_Seismic,SUMIF(Full_Project,'Financial Summary (2017)'!$A$13,Full_Constr),0))</f>
        <v>0</v>
      </c>
      <c r="J16" s="35">
        <f>IF(CD_Seismic/12&gt;1,IF(OR(J$2=Constr_Seismic,AND(J$2&gt;Constr_Seismic,J$2&lt;=Constr_Seismic+CD_Seismic/12)),(SUMIF(Full_Project,'Financial Summary (2017)'!$A$13,Full_Constr))/ROUNDUP((CD_Seismic+F_Seismic)/12,0),0),IF(J$2=Constr_Seismic,SUMIF(Full_Project,'Financial Summary (2017)'!$A$13,Full_Constr),0))</f>
        <v>0</v>
      </c>
      <c r="K16" s="35">
        <f>IF(CD_Seismic/12&gt;1,IF(OR(K$2=Constr_Seismic,AND(K$2&gt;Constr_Seismic,K$2&lt;=Constr_Seismic+CD_Seismic/12)),(SUMIF(Full_Project,'Financial Summary (2017)'!$A$13,Full_Constr))/ROUNDUP((CD_Seismic+F_Seismic)/12,0),0),IF(K$2=Constr_Seismic,SUMIF(Full_Project,'Financial Summary (2017)'!$A$13,Full_Constr),0))</f>
        <v>0</v>
      </c>
      <c r="L16" s="35">
        <f>IF(CD_Seismic/12&gt;1,IF(OR(L$2=Constr_Seismic,AND(L$2&gt;Constr_Seismic,L$2&lt;=Constr_Seismic+CD_Seismic/12)),(SUMIF(Full_Project,'Financial Summary (2017)'!$A$13,Full_Constr))/ROUNDUP((CD_Seismic+F_Seismic)/12,0),0),IF(L$2=Constr_Seismic,SUMIF(Full_Project,'Financial Summary (2017)'!$A$13,Full_Constr),0))</f>
        <v>0</v>
      </c>
      <c r="M16" s="35">
        <f>IF(CD_Seismic/12&gt;1,IF(OR(M$2=Constr_Seismic,AND(M$2&gt;Constr_Seismic,M$2&lt;=Constr_Seismic+CD_Seismic/12)),(SUMIF(Full_Project,'Financial Summary (2017)'!$A$13,Full_Constr))/ROUNDUP((CD_Seismic+F_Seismic)/12,0),0),IF(M$2=Constr_Seismic,SUMIF(Full_Project,'Financial Summary (2017)'!$A$13,Full_Constr),0))</f>
        <v>0</v>
      </c>
      <c r="N16" s="35">
        <f>IF(CD_Seismic/12&gt;1,IF(OR(N$2=Constr_Seismic,AND(N$2&gt;Constr_Seismic,N$2&lt;=Constr_Seismic+CD_Seismic/12)),(SUMIF(Full_Project,'Financial Summary (2017)'!$A$13,Full_Constr))/ROUNDUP((CD_Seismic+F_Seismic)/12,0),0),IF(N$2=Constr_Seismic,SUMIF(Full_Project,'Financial Summary (2017)'!$A$13,Full_Constr),0))</f>
        <v>0</v>
      </c>
      <c r="O16" s="35">
        <f>IF(CD_Seismic/12&gt;1,IF(OR(O$2=Constr_Seismic,AND(O$2&gt;Constr_Seismic,O$2&lt;=Constr_Seismic+CD_Seismic/12)),(SUMIF(Full_Project,'Financial Summary (2017)'!$A$13,Full_Constr))/ROUNDUP((CD_Seismic+F_Seismic)/12,0),0),IF(O$2=Constr_Seismic,SUMIF(Full_Project,'Financial Summary (2017)'!$A$13,Full_Constr),0))</f>
        <v>0</v>
      </c>
      <c r="P16" s="35">
        <f>IF(CD_Seismic/12&gt;1,IF(OR(P$2=Constr_Seismic,AND(P$2&gt;Constr_Seismic,P$2&lt;=Constr_Seismic+CD_Seismic/12)),(SUMIF(Full_Project,'Financial Summary (2017)'!$A$13,Full_Constr))/ROUNDUP((CD_Seismic+F_Seismic)/12,0),0),IF(P$2=Constr_Seismic,SUMIF(Full_Project,'Financial Summary (2017)'!$A$13,Full_Constr),0))</f>
        <v>0</v>
      </c>
      <c r="Q16" s="35">
        <f>IF(CD_Seismic/12&gt;1,IF(OR(Q$2=Constr_Seismic,AND(Q$2&gt;Constr_Seismic,Q$2&lt;=Constr_Seismic+CD_Seismic/12)),(SUMIF(Full_Project,'Financial Summary (2017)'!$A$13,Full_Constr))/ROUNDUP((CD_Seismic+F_Seismic)/12,0),0),IF(Q$2=Constr_Seismic,SUMIF(Full_Project,'Financial Summary (2017)'!$A$13,Full_Constr),0))</f>
        <v>0</v>
      </c>
      <c r="R16" s="35">
        <f>IF(CD_Seismic/12&gt;1,IF(OR(R$2=Constr_Seismic,AND(R$2&gt;Constr_Seismic,R$2&lt;=Constr_Seismic+CD_Seismic/12)),(SUMIF(Full_Project,'Financial Summary (2017)'!$A$13,Full_Constr))/ROUNDUP((CD_Seismic+F_Seismic)/12,0),0),IF(R$2=Constr_Seismic,SUMIF(Full_Project,'Financial Summary (2017)'!$A$13,Full_Constr),0))</f>
        <v>0</v>
      </c>
      <c r="S16" s="35">
        <f>IF(CD_Seismic/12&gt;1,IF(OR(S$2=Constr_Seismic,AND(S$2&gt;Constr_Seismic,S$2&lt;=Constr_Seismic+CD_Seismic/12)),(SUMIF(Full_Project,'Financial Summary (2017)'!$A$13,Full_Constr))/ROUNDUP((CD_Seismic+F_Seismic)/12,0),0),IF(S$2=Constr_Seismic,SUMIF(Full_Project,'Financial Summary (2017)'!$A$13,Full_Constr),0))</f>
        <v>0</v>
      </c>
      <c r="T16" s="35">
        <f>IF(CD_Seismic/12&gt;1,IF(OR(T$2=Constr_Seismic,AND(T$2&gt;Constr_Seismic,T$2&lt;=Constr_Seismic+CD_Seismic/12)),(SUMIF(Full_Project,'Financial Summary (2017)'!$A$13,Full_Constr))/ROUNDUP((CD_Seismic+F_Seismic)/12,0),0),IF(T$2=Constr_Seismic,SUMIF(Full_Project,'Financial Summary (2017)'!$A$13,Full_Constr),0))</f>
        <v>0</v>
      </c>
      <c r="U16" s="35">
        <f>IF(CD_Seismic/12&gt;1,IF(OR(U$2=Constr_Seismic,AND(U$2&gt;Constr_Seismic,U$2&lt;=Constr_Seismic+CD_Seismic/12)),(SUMIF(Full_Project,'Financial Summary (2017)'!$A$13,Full_Constr))/ROUNDUP((CD_Seismic+F_Seismic)/12,0),0),IF(U$2=Constr_Seismic,SUMIF(Full_Project,'Financial Summary (2017)'!$A$13,Full_Constr),0))</f>
        <v>0</v>
      </c>
      <c r="V16" s="35">
        <f>IF(CD_Seismic/12&gt;1,IF(OR(V$2=Constr_Seismic,AND(V$2&gt;Constr_Seismic,V$2&lt;=Constr_Seismic+CD_Seismic/12)),(SUMIF(Full_Project,'Financial Summary (2017)'!$A$13,Full_Constr))/ROUNDUP((CD_Seismic+F_Seismic)/12,0),0),IF(V$2=Constr_Seismic,SUMIF(Full_Project,'Financial Summary (2017)'!$A$13,Full_Constr),0))</f>
        <v>0</v>
      </c>
      <c r="W16" s="35">
        <f>IF(CD_Seismic/12&gt;1,IF(OR(W$2=Constr_Seismic,AND(W$2&gt;Constr_Seismic,W$2&lt;=Constr_Seismic+CD_Seismic/12)),(SUMIF(Full_Project,'Financial Summary (2017)'!$A$13,Full_Constr))/ROUNDUP((CD_Seismic+F_Seismic)/12,0),0),IF(W$2=Constr_Seismic,SUMIF(Full_Project,'Financial Summary (2017)'!$A$13,Full_Constr),0))</f>
        <v>0</v>
      </c>
      <c r="X16" s="150">
        <f t="shared" si="8"/>
        <v>921493</v>
      </c>
    </row>
    <row r="17" spans="1:24" ht="13.8" x14ac:dyDescent="0.3">
      <c r="A17" s="32"/>
      <c r="B17" s="31" t="s">
        <v>4</v>
      </c>
      <c r="C17" s="33"/>
      <c r="D17" s="35">
        <f t="shared" ref="D17:W17" si="9">SUM(D14:D16)</f>
        <v>0</v>
      </c>
      <c r="E17" s="35">
        <f t="shared" si="9"/>
        <v>0</v>
      </c>
      <c r="F17" s="35">
        <f t="shared" si="9"/>
        <v>0</v>
      </c>
      <c r="G17" s="35">
        <f t="shared" si="9"/>
        <v>184298.6</v>
      </c>
      <c r="H17" s="35">
        <f t="shared" si="9"/>
        <v>967567.65</v>
      </c>
      <c r="I17" s="35">
        <f t="shared" si="9"/>
        <v>0</v>
      </c>
      <c r="J17" s="35">
        <f t="shared" si="9"/>
        <v>0</v>
      </c>
      <c r="K17" s="35">
        <f t="shared" si="9"/>
        <v>0</v>
      </c>
      <c r="L17" s="35">
        <f t="shared" si="9"/>
        <v>0</v>
      </c>
      <c r="M17" s="35">
        <f t="shared" si="9"/>
        <v>0</v>
      </c>
      <c r="N17" s="35">
        <f t="shared" si="9"/>
        <v>0</v>
      </c>
      <c r="O17" s="404">
        <f t="shared" si="9"/>
        <v>0</v>
      </c>
      <c r="P17" s="35">
        <f t="shared" si="9"/>
        <v>0</v>
      </c>
      <c r="Q17" s="35">
        <f t="shared" si="9"/>
        <v>0</v>
      </c>
      <c r="R17" s="35">
        <f t="shared" si="9"/>
        <v>0</v>
      </c>
      <c r="S17" s="35">
        <f t="shared" si="9"/>
        <v>0</v>
      </c>
      <c r="T17" s="35">
        <f t="shared" si="9"/>
        <v>0</v>
      </c>
      <c r="U17" s="35">
        <f t="shared" si="9"/>
        <v>0</v>
      </c>
      <c r="V17" s="35">
        <f t="shared" si="9"/>
        <v>0</v>
      </c>
      <c r="W17" s="35">
        <f t="shared" si="9"/>
        <v>0</v>
      </c>
      <c r="X17" s="150">
        <f t="shared" si="8"/>
        <v>1151866.25</v>
      </c>
    </row>
    <row r="18" spans="1:24" ht="13.8" x14ac:dyDescent="0.3">
      <c r="A18" s="32" t="s">
        <v>219</v>
      </c>
      <c r="B18" s="31"/>
      <c r="C18" s="34"/>
      <c r="D18" s="35"/>
      <c r="E18" s="35"/>
      <c r="F18" s="35"/>
      <c r="G18" s="35"/>
      <c r="H18" s="35"/>
      <c r="I18" s="35"/>
      <c r="J18" s="35"/>
      <c r="K18" s="35"/>
      <c r="L18" s="35"/>
      <c r="M18" s="35"/>
      <c r="N18" s="35"/>
      <c r="O18" s="404"/>
      <c r="P18" s="35"/>
      <c r="Q18" s="35"/>
      <c r="R18" s="35"/>
      <c r="S18" s="35"/>
      <c r="T18" s="35"/>
      <c r="U18" s="35"/>
      <c r="V18" s="35"/>
      <c r="W18" s="35"/>
      <c r="X18" s="150"/>
    </row>
    <row r="19" spans="1:24" ht="13.8" x14ac:dyDescent="0.3">
      <c r="A19" s="32"/>
      <c r="B19" s="31" t="s">
        <v>273</v>
      </c>
      <c r="C19" s="34"/>
      <c r="D19" s="290">
        <f>IF(DD_30MGD/12&gt;1,IF(OR(D$2=Design_30MGD,AND(D$2&gt;Design_30MGD,D$2&lt;=Design_30MGD+DD_30MGD/12)),SUMIF(Full_Project,'Financial Summary (2017)'!$A$18,Full_Design)/ROUNDUP(DD_30MGD/12,0),0),IF(D$2=Design_30MGD,SUMIF(Full_Project,'Financial Summary (2017)'!$A$18,Full_Design),0))</f>
        <v>0</v>
      </c>
      <c r="E19" s="290">
        <f>IF(DD_30MGD/12&gt;1,IF(OR(E$2=Design_30MGD,AND(E$2&gt;Design_30MGD,E$2&lt;=Design_30MGD+DD_30MGD/12)),SUMIF(Full_Project,'Financial Summary (2017)'!$A$18,Full_Design)/ROUNDUP(DD_30MGD/12,0),0),IF(E$2=Design_30MGD,SUMIF(Full_Project,'Financial Summary (2017)'!$A$18,Full_Design),0))</f>
        <v>0</v>
      </c>
      <c r="F19" s="290">
        <f>IF(DD_30MGD/12&gt;1,IF(OR(F$2=Design_30MGD,AND(F$2&gt;Design_30MGD,F$2&lt;=Design_30MGD+DD_30MGD/12)),SUMIF(Full_Project,'Financial Summary (2017)'!$A$18,Full_Design)/ROUNDUP(DD_30MGD/12,0),0),IF(F$2=Design_30MGD,SUMIF(Full_Project,'Financial Summary (2017)'!$A$18,Full_Design),0))</f>
        <v>0</v>
      </c>
      <c r="G19" s="290">
        <f>IF(DD_30MGD/12&gt;1,IF(OR(G$2=Design_30MGD,AND(G$2&gt;Design_30MGD,G$2&lt;=Design_30MGD+DD_30MGD/12)),SUMIF(Full_Project,'Financial Summary (2017)'!$A$18,Full_Design)/ROUNDUP(DD_30MGD/12,0),0),IF(G$2=Design_30MGD,SUMIF(Full_Project,'Financial Summary (2017)'!$A$18,Full_Design),0))</f>
        <v>0</v>
      </c>
      <c r="H19" s="290">
        <f>IF(DD_30MGD/12&gt;1,IF(OR(H$2=Design_30MGD,AND(H$2&gt;Design_30MGD,H$2&lt;=Design_30MGD+DD_30MGD/12)),SUMIF(Full_Project,'Financial Summary (2017)'!$A$18,Full_Design)/ROUNDUP(DD_30MGD/12,0),0),IF(H$2=Design_30MGD,SUMIF(Full_Project,'Financial Summary (2017)'!$A$18,Full_Design),0))</f>
        <v>0</v>
      </c>
      <c r="I19" s="290">
        <f>IF(DD_30MGD/12&gt;1,IF(OR(I$2=Design_30MGD,AND(I$2&gt;Design_30MGD,I$2&lt;=Design_30MGD+DD_30MGD/12)),SUMIF(Full_Project,'Financial Summary (2017)'!$A$18,Full_Design)/ROUNDUP(DD_30MGD/12,0),0),IF(I$2=Design_30MGD,SUMIF(Full_Project,'Financial Summary (2017)'!$A$18,Full_Design),0))</f>
        <v>0</v>
      </c>
      <c r="J19" s="290">
        <f>IF(DD_30MGD/12&gt;1,IF(OR(J$2=Design_30MGD,AND(J$2&gt;Design_30MGD,J$2&lt;=Design_30MGD+DD_30MGD/12)),SUMIF(Full_Project,'Financial Summary (2017)'!$A$18,Full_Design)/ROUNDUP(DD_30MGD/12,0),0),IF(J$2=Design_30MGD,SUMIF(Full_Project,'Financial Summary (2017)'!$A$18,Full_Design),0))</f>
        <v>0</v>
      </c>
      <c r="K19" s="290">
        <f>IF(DD_30MGD/12&gt;1,IF(OR(K$2=Design_30MGD,AND(K$2&gt;Design_30MGD,K$2&lt;=Design_30MGD+DD_30MGD/12)),SUMIF(Full_Project,'Financial Summary (2017)'!$A$18,Full_Design)/ROUNDUP(DD_30MGD/12,0),0),IF(K$2=Design_30MGD,SUMIF(Full_Project,'Financial Summary (2017)'!$A$18,Full_Design),0))</f>
        <v>0</v>
      </c>
      <c r="L19" s="290">
        <f>IF(DD_30MGD/12&gt;1,IF(OR(L$2=Design_30MGD,AND(L$2&gt;Design_30MGD,L$2&lt;=Design_30MGD+DD_30MGD/12)),SUMIF(Full_Project,'Financial Summary (2017)'!$A$18,Full_Design)/ROUNDUP(DD_30MGD/12,0),0),IF(L$2=Design_30MGD,SUMIF(Full_Project,'Financial Summary (2017)'!$A$18,Full_Design),0))</f>
        <v>0</v>
      </c>
      <c r="M19" s="290">
        <f>IF(DD_30MGD/12&gt;1,IF(OR(M$2=Design_30MGD,AND(M$2&gt;Design_30MGD,M$2&lt;=Design_30MGD+DD_30MGD/12)),SUMIF(Full_Project,'Financial Summary (2017)'!$A$18,Full_Design)/ROUNDUP(DD_30MGD/12,0),0),IF(M$2=Design_30MGD,SUMIF(Full_Project,'Financial Summary (2017)'!$A$18,Full_Design),0))</f>
        <v>0</v>
      </c>
      <c r="N19" s="290">
        <f>IF(DD_30MGD/12&gt;1,IF(OR(N$2=Design_30MGD,AND(N$2&gt;Design_30MGD,N$2&lt;=Design_30MGD+DD_30MGD/12)),SUMIF(Full_Project,'Financial Summary (2017)'!$A$18,Full_Design)/ROUNDUP(DD_30MGD/12,0),0),IF(N$2=Design_30MGD,SUMIF(Full_Project,'Financial Summary (2017)'!$A$18,Full_Design),0))</f>
        <v>0</v>
      </c>
      <c r="O19" s="403">
        <f>IF(DD_30MGD/12&gt;1,IF(OR(O$2=Design_30MGD,AND(O$2&gt;Design_30MGD,O$2&lt;=Design_30MGD+DD_30MGD/12)),SUMIF(Full_Project,'Financial Summary (2017)'!$A$18,Full_Design)/ROUNDUP(DD_30MGD/12,0),0),IF(O$2=Design_30MGD,SUMIF(Full_Project,'Financial Summary (2017)'!$A$18,Full_Design),0))</f>
        <v>0</v>
      </c>
      <c r="P19" s="290">
        <f>IF(DD_30MGD/12&gt;1,IF(OR(P$2=Design_30MGD,AND(P$2&gt;Design_30MGD,P$2&lt;=Design_30MGD+DD_30MGD/12)),SUMIF(Full_Project,'Financial Summary (2017)'!$A$18,Full_Design)/ROUNDUP(DD_30MGD/12,0),0),IF(P$2=Design_30MGD,SUMIF(Full_Project,'Financial Summary (2017)'!$A$18,Full_Design),0))</f>
        <v>0</v>
      </c>
      <c r="Q19" s="290">
        <f>IF(DD_30MGD/12&gt;1,IF(OR(Q$2=Design_30MGD,AND(Q$2&gt;Design_30MGD,Q$2&lt;=Design_30MGD+DD_30MGD/12)),SUMIF(Full_Project,'Financial Summary (2017)'!$A$18,Full_Design)/ROUNDUP(DD_30MGD/12,0),0),IF(Q$2=Design_30MGD,SUMIF(Full_Project,'Financial Summary (2017)'!$A$18,Full_Design),0))</f>
        <v>4636646.6999999993</v>
      </c>
      <c r="R19" s="290">
        <f>IF(DD_30MGD/12&gt;1,IF(OR(R$2=Design_30MGD,AND(R$2&gt;Design_30MGD,R$2&lt;=Design_30MGD+DD_30MGD/12)),SUMIF(Full_Project,'Financial Summary (2017)'!$A$18,Full_Design)/ROUNDUP(DD_30MGD/12,0),0),IF(R$2=Design_30MGD,SUMIF(Full_Project,'Financial Summary (2017)'!$A$18,Full_Design),0))</f>
        <v>0</v>
      </c>
      <c r="S19" s="290">
        <f>IF(DD_30MGD/12&gt;1,IF(OR(S$2=Design_30MGD,AND(S$2&gt;Design_30MGD,S$2&lt;=Design_30MGD+DD_30MGD/12)),SUMIF(Full_Project,'Financial Summary (2017)'!$A$18,Full_Design)/ROUNDUP(DD_30MGD/12,0),0),IF(S$2=Design_30MGD,SUMIF(Full_Project,'Financial Summary (2017)'!$A$18,Full_Design),0))</f>
        <v>0</v>
      </c>
      <c r="T19" s="290">
        <f>IF(DD_30MGD/12&gt;1,IF(OR(T$2=Design_30MGD,AND(T$2&gt;Design_30MGD,T$2&lt;=Design_30MGD+DD_30MGD/12)),SUMIF(Full_Project,'Financial Summary (2017)'!$A$18,Full_Design)/ROUNDUP(DD_30MGD/12,0),0),IF(T$2=Design_30MGD,SUMIF(Full_Project,'Financial Summary (2017)'!$A$18,Full_Design),0))</f>
        <v>0</v>
      </c>
      <c r="U19" s="290">
        <f>IF(DD_30MGD/12&gt;1,IF(OR(U$2=Design_30MGD,AND(U$2&gt;Design_30MGD,U$2&lt;=Design_30MGD+DD_30MGD/12)),SUMIF(Full_Project,'Financial Summary (2017)'!$A$18,Full_Design)/ROUNDUP(DD_30MGD/12,0),0),IF(U$2=Design_30MGD,SUMIF(Full_Project,'Financial Summary (2017)'!$A$18,Full_Design),0))</f>
        <v>0</v>
      </c>
      <c r="V19" s="290">
        <f>IF(DD_30MGD/12&gt;1,IF(OR(V$2=Design_30MGD,AND(V$2&gt;Design_30MGD,V$2&lt;=Design_30MGD+DD_30MGD/12)),SUMIF(Full_Project,'Financial Summary (2017)'!$A$18,Full_Design)/ROUNDUP(DD_30MGD/12,0),0),IF(V$2=Design_30MGD,SUMIF(Full_Project,'Financial Summary (2017)'!$A$18,Full_Design),0))</f>
        <v>0</v>
      </c>
      <c r="W19" s="290">
        <f>IF(DD_30MGD/12&gt;1,IF(OR(W$2=Design_30MGD,AND(W$2&gt;Design_30MGD,W$2&lt;=Design_30MGD+DD_30MGD/12)),SUMIF(Full_Project,'Financial Summary (2017)'!$A$18,Full_Design)/ROUNDUP(DD_30MGD/12,0),0),IF(W$2=Design_30MGD,SUMIF(Full_Project,'Financial Summary (2017)'!$A$18,Full_Design),0))</f>
        <v>0</v>
      </c>
      <c r="X19" s="150">
        <f>SUM(D19:W19)</f>
        <v>4636646.6999999993</v>
      </c>
    </row>
    <row r="20" spans="1:24" ht="13.8" x14ac:dyDescent="0.3">
      <c r="A20" s="32"/>
      <c r="B20" s="31" t="s">
        <v>272</v>
      </c>
      <c r="C20" s="34"/>
      <c r="D20" s="35">
        <f t="shared" ref="D20:W20" si="10">IF(OR(D$2=Design_30MGD,AND(D$2&gt;Design_30MGD,D$2&lt;Complete_30MGD)),SUMIF(Full_Project,$A$18,Full_Admin)/(Duration_30MGD),0)</f>
        <v>0</v>
      </c>
      <c r="E20" s="35">
        <f t="shared" si="10"/>
        <v>0</v>
      </c>
      <c r="F20" s="35">
        <f t="shared" si="10"/>
        <v>0</v>
      </c>
      <c r="G20" s="35">
        <f t="shared" si="10"/>
        <v>0</v>
      </c>
      <c r="H20" s="35">
        <f t="shared" si="10"/>
        <v>0</v>
      </c>
      <c r="I20" s="35">
        <f t="shared" si="10"/>
        <v>0</v>
      </c>
      <c r="J20" s="35">
        <f t="shared" si="10"/>
        <v>0</v>
      </c>
      <c r="K20" s="35">
        <f t="shared" si="10"/>
        <v>0</v>
      </c>
      <c r="L20" s="35">
        <f t="shared" si="10"/>
        <v>0</v>
      </c>
      <c r="M20" s="35">
        <f t="shared" si="10"/>
        <v>0</v>
      </c>
      <c r="N20" s="35">
        <f t="shared" si="10"/>
        <v>0</v>
      </c>
      <c r="O20" s="404">
        <f t="shared" si="10"/>
        <v>0</v>
      </c>
      <c r="P20" s="35">
        <f t="shared" si="10"/>
        <v>0</v>
      </c>
      <c r="Q20" s="35">
        <f t="shared" si="10"/>
        <v>772774.45000000019</v>
      </c>
      <c r="R20" s="35">
        <f t="shared" si="10"/>
        <v>772774.45000000019</v>
      </c>
      <c r="S20" s="35">
        <f t="shared" si="10"/>
        <v>772774.45000000019</v>
      </c>
      <c r="T20" s="35">
        <f t="shared" si="10"/>
        <v>772774.45000000019</v>
      </c>
      <c r="U20" s="35">
        <f t="shared" si="10"/>
        <v>0</v>
      </c>
      <c r="V20" s="35">
        <f t="shared" si="10"/>
        <v>0</v>
      </c>
      <c r="W20" s="35">
        <f t="shared" si="10"/>
        <v>0</v>
      </c>
      <c r="X20" s="150">
        <f t="shared" ref="X20:X22" si="11">SUM(D20:W20)</f>
        <v>3091097.8000000007</v>
      </c>
    </row>
    <row r="21" spans="1:24" ht="13.8" x14ac:dyDescent="0.3">
      <c r="A21" s="32"/>
      <c r="B21" s="31" t="s">
        <v>5</v>
      </c>
      <c r="C21" s="34"/>
      <c r="D21" s="35">
        <f>IF(CD_30MGD/12&gt;1,IF(OR(D$2=Constr_30MGD,AND(D$2&gt;Constr_30MGD,D$2&lt;=Constr_30MGD+CD_30MGD/12)),(SUMIF(Full_Project,'Financial Summary (2017)'!$A$18,Full_Constr))/ROUNDUP((CD_30MGD+F_30MGD)/12,0),0),IF(D$2=Constr_30MGD,SUMIF(Full_Project,'Financial Summary (2017)'!$A$18,Full_Constr),0))</f>
        <v>0</v>
      </c>
      <c r="E21" s="35">
        <f>IF(CD_30MGD/12&gt;1,IF(OR(E$2=Constr_30MGD,AND(E$2&gt;Constr_30MGD,E$2&lt;=Constr_30MGD+CD_30MGD/12)),(SUMIF(Full_Project,'Financial Summary (2017)'!$A$18,Full_Constr))/ROUNDUP((CD_30MGD+F_30MGD)/12,0),0),IF(E$2=Constr_30MGD,SUMIF(Full_Project,'Financial Summary (2017)'!$A$18,Full_Constr),0))</f>
        <v>0</v>
      </c>
      <c r="F21" s="35">
        <f>IF(CD_30MGD/12&gt;1,IF(OR(F$2=Constr_30MGD,AND(F$2&gt;Constr_30MGD,F$2&lt;=Constr_30MGD+CD_30MGD/12)),(SUMIF(Full_Project,'Financial Summary (2017)'!$A$18,Full_Constr))/ROUNDUP((CD_30MGD+F_30MGD)/12,0),0),IF(F$2=Constr_30MGD,SUMIF(Full_Project,'Financial Summary (2017)'!$A$18,Full_Constr),0))</f>
        <v>0</v>
      </c>
      <c r="G21" s="35">
        <f>IF(CD_30MGD/12&gt;1,IF(OR(G$2=Constr_30MGD,AND(G$2&gt;Constr_30MGD,G$2&lt;=Constr_30MGD+CD_30MGD/12)),(SUMIF(Full_Project,'Financial Summary (2017)'!$A$18,Full_Constr))/ROUNDUP((CD_30MGD+F_30MGD)/12,0),0),IF(G$2=Constr_30MGD,SUMIF(Full_Project,'Financial Summary (2017)'!$A$18,Full_Constr),0))</f>
        <v>0</v>
      </c>
      <c r="H21" s="35">
        <f>IF(CD_30MGD/12&gt;1,IF(OR(H$2=Constr_30MGD,AND(H$2&gt;Constr_30MGD,H$2&lt;=Constr_30MGD+CD_30MGD/12)),(SUMIF(Full_Project,'Financial Summary (2017)'!$A$18,Full_Constr))/ROUNDUP((CD_30MGD+F_30MGD)/12,0),0),IF(H$2=Constr_30MGD,SUMIF(Full_Project,'Financial Summary (2017)'!$A$18,Full_Constr),0))</f>
        <v>0</v>
      </c>
      <c r="I21" s="35">
        <f>IF(CD_30MGD/12&gt;1,IF(OR(I$2=Constr_30MGD,AND(I$2&gt;Constr_30MGD,I$2&lt;=Constr_30MGD+CD_30MGD/12)),(SUMIF(Full_Project,'Financial Summary (2017)'!$A$18,Full_Constr))/ROUNDUP((CD_30MGD+F_30MGD)/12,0),0),IF(I$2=Constr_30MGD,SUMIF(Full_Project,'Financial Summary (2017)'!$A$18,Full_Constr),0))</f>
        <v>0</v>
      </c>
      <c r="J21" s="35">
        <f>IF(CD_30MGD/12&gt;1,IF(OR(J$2=Constr_30MGD,AND(J$2&gt;Constr_30MGD,J$2&lt;=Constr_30MGD+CD_30MGD/12)),(SUMIF(Full_Project,'Financial Summary (2017)'!$A$18,Full_Constr))/ROUNDUP((CD_30MGD+F_30MGD)/12,0),0),IF(J$2=Constr_30MGD,SUMIF(Full_Project,'Financial Summary (2017)'!$A$18,Full_Constr),0))</f>
        <v>0</v>
      </c>
      <c r="K21" s="35">
        <f>IF(CD_30MGD/12&gt;1,IF(OR(K$2=Constr_30MGD,AND(K$2&gt;Constr_30MGD,K$2&lt;=Constr_30MGD+CD_30MGD/12)),(SUMIF(Full_Project,'Financial Summary (2017)'!$A$18,Full_Constr))/ROUNDUP((CD_30MGD+F_30MGD)/12,0),0),IF(K$2=Constr_30MGD,SUMIF(Full_Project,'Financial Summary (2017)'!$A$18,Full_Constr),0))</f>
        <v>0</v>
      </c>
      <c r="L21" s="35">
        <f>IF(CD_30MGD/12&gt;1,IF(OR(L$2=Constr_30MGD,AND(L$2&gt;Constr_30MGD,L$2&lt;=Constr_30MGD+CD_30MGD/12)),(SUMIF(Full_Project,'Financial Summary (2017)'!$A$18,Full_Constr))/ROUNDUP((CD_30MGD+F_30MGD)/12,0),0),IF(L$2=Constr_30MGD,SUMIF(Full_Project,'Financial Summary (2017)'!$A$18,Full_Constr),0))</f>
        <v>0</v>
      </c>
      <c r="M21" s="35">
        <f>IF(CD_30MGD/12&gt;1,IF(OR(M$2=Constr_30MGD,AND(M$2&gt;Constr_30MGD,M$2&lt;=Constr_30MGD+CD_30MGD/12)),(SUMIF(Full_Project,'Financial Summary (2017)'!$A$18,Full_Constr))/ROUNDUP((CD_30MGD+F_30MGD)/12,0),0),IF(M$2=Constr_30MGD,SUMIF(Full_Project,'Financial Summary (2017)'!$A$18,Full_Constr),0))</f>
        <v>0</v>
      </c>
      <c r="N21" s="35">
        <f>IF(CD_30MGD/12&gt;1,IF(OR(N$2=Constr_30MGD,AND(N$2&gt;Constr_30MGD,N$2&lt;=Constr_30MGD+CD_30MGD/12)),(SUMIF(Full_Project,'Financial Summary (2017)'!$A$18,Full_Constr))/ROUNDUP((CD_30MGD+F_30MGD)/12,0),0),IF(N$2=Constr_30MGD,SUMIF(Full_Project,'Financial Summary (2017)'!$A$18,Full_Constr),0))</f>
        <v>0</v>
      </c>
      <c r="O21" s="35">
        <f>IF(CD_30MGD/12&gt;1,IF(OR(O$2=Constr_30MGD,AND(O$2&gt;Constr_30MGD,O$2&lt;=Constr_30MGD+CD_30MGD/12)),(SUMIF(Full_Project,'Financial Summary (2017)'!$A$18,Full_Constr))/ROUNDUP((CD_30MGD+F_30MGD)/12,0),0),IF(O$2=Constr_30MGD,SUMIF(Full_Project,'Financial Summary (2017)'!$A$18,Full_Constr),0))</f>
        <v>0</v>
      </c>
      <c r="P21" s="35">
        <f>IF(CD_30MGD/12&gt;1,IF(OR(P$2=Constr_30MGD,AND(P$2&gt;Constr_30MGD,P$2&lt;=Constr_30MGD+CD_30MGD/12)),(SUMIF(Full_Project,'Financial Summary (2017)'!$A$18,Full_Constr))/ROUNDUP((CD_30MGD+F_30MGD)/12,0),0),IF(P$2=Constr_30MGD,SUMIF(Full_Project,'Financial Summary (2017)'!$A$18,Full_Constr),0))</f>
        <v>0</v>
      </c>
      <c r="Q21" s="35">
        <f>IF(CD_30MGD/12&gt;1,IF(OR(Q$2=Constr_30MGD,AND(Q$2&gt;Constr_30MGD,Q$2&lt;=Constr_30MGD+CD_30MGD/12)),(SUMIF(Full_Project,'Financial Summary (2017)'!$A$18,Full_Constr))/ROUNDUP((CD_30MGD+F_30MGD)/12,0),0),IF(Q$2=Constr_30MGD,SUMIF(Full_Project,'Financial Summary (2017)'!$A$18,Full_Constr),0))</f>
        <v>0</v>
      </c>
      <c r="R21" s="35">
        <f>IF(CD_30MGD/12&gt;1,IF(OR(R$2=Constr_30MGD,AND(R$2&gt;Constr_30MGD,R$2&lt;=Constr_30MGD+CD_30MGD/12)),(SUMIF(Full_Project,'Financial Summary (2017)'!$A$18,Full_Constr))/ROUNDUP((CD_30MGD+F_30MGD)/12,0),0),IF(R$2=Constr_30MGD,SUMIF(Full_Project,'Financial Summary (2017)'!$A$18,Full_Constr),0))</f>
        <v>10303659.333333334</v>
      </c>
      <c r="S21" s="35">
        <f>IF(CD_30MGD/12&gt;1,IF(OR(S$2=Constr_30MGD,AND(S$2&gt;Constr_30MGD,S$2&lt;=Constr_30MGD+CD_30MGD/12)),(SUMIF(Full_Project,'Financial Summary (2017)'!$A$18,Full_Constr))/ROUNDUP((CD_30MGD+F_30MGD)/12,0),0),IF(S$2=Constr_30MGD,SUMIF(Full_Project,'Financial Summary (2017)'!$A$18,Full_Constr),0))</f>
        <v>10303659.333333334</v>
      </c>
      <c r="T21" s="35">
        <f>IF(CD_30MGD/12&gt;1,IF(OR(T$2=Constr_30MGD,AND(T$2&gt;Constr_30MGD,T$2&lt;=Constr_30MGD+CD_30MGD/12)),(SUMIF(Full_Project,'Financial Summary (2017)'!$A$18,Full_Constr))/ROUNDUP((CD_30MGD+F_30MGD)/12,0),0),IF(T$2=Constr_30MGD,SUMIF(Full_Project,'Financial Summary (2017)'!$A$18,Full_Constr),0))</f>
        <v>10303659.333333334</v>
      </c>
      <c r="U21" s="35">
        <f>IF(CD_30MGD/12&gt;1,IF(OR(U$2=Constr_30MGD,AND(U$2&gt;Constr_30MGD,U$2&lt;=Constr_30MGD+CD_30MGD/12)),(SUMIF(Full_Project,'Financial Summary (2017)'!$A$18,Full_Constr))/ROUNDUP((CD_30MGD+F_30MGD)/12,0),0),IF(U$2=Constr_30MGD,SUMIF(Full_Project,'Financial Summary (2017)'!$A$18,Full_Constr),0))</f>
        <v>0</v>
      </c>
      <c r="V21" s="35">
        <f>IF(CD_30MGD/12&gt;1,IF(OR(V$2=Constr_30MGD,AND(V$2&gt;Constr_30MGD,V$2&lt;=Constr_30MGD+CD_30MGD/12)),(SUMIF(Full_Project,'Financial Summary (2017)'!$A$18,Full_Constr))/ROUNDUP((CD_30MGD+F_30MGD)/12,0),0),IF(V$2=Constr_30MGD,SUMIF(Full_Project,'Financial Summary (2017)'!$A$18,Full_Constr),0))</f>
        <v>0</v>
      </c>
      <c r="W21" s="35">
        <f>IF(CD_30MGD/12&gt;1,IF(OR(W$2=Constr_30MGD,AND(W$2&gt;Constr_30MGD,W$2&lt;=Constr_30MGD+CD_30MGD/12)),(SUMIF(Full_Project,'Financial Summary (2017)'!$A$18,Full_Constr))/ROUNDUP((CD_30MGD+F_30MGD)/12,0),0),IF(W$2=Constr_30MGD,SUMIF(Full_Project,'Financial Summary (2017)'!$A$18,Full_Constr),0))</f>
        <v>0</v>
      </c>
      <c r="X21" s="150">
        <f t="shared" si="11"/>
        <v>30910978</v>
      </c>
    </row>
    <row r="22" spans="1:24" ht="13.8" x14ac:dyDescent="0.3">
      <c r="A22" s="32"/>
      <c r="B22" s="31" t="s">
        <v>4</v>
      </c>
      <c r="C22" s="33"/>
      <c r="D22" s="35">
        <f t="shared" ref="D22:W22" si="12">SUM(D19:D21)</f>
        <v>0</v>
      </c>
      <c r="E22" s="35">
        <f t="shared" si="12"/>
        <v>0</v>
      </c>
      <c r="F22" s="35">
        <f t="shared" si="12"/>
        <v>0</v>
      </c>
      <c r="G22" s="35">
        <f t="shared" si="12"/>
        <v>0</v>
      </c>
      <c r="H22" s="35">
        <f t="shared" si="12"/>
        <v>0</v>
      </c>
      <c r="I22" s="35">
        <f t="shared" si="12"/>
        <v>0</v>
      </c>
      <c r="J22" s="35">
        <f t="shared" si="12"/>
        <v>0</v>
      </c>
      <c r="K22" s="35">
        <f t="shared" si="12"/>
        <v>0</v>
      </c>
      <c r="L22" s="35">
        <f t="shared" si="12"/>
        <v>0</v>
      </c>
      <c r="M22" s="35">
        <f t="shared" si="12"/>
        <v>0</v>
      </c>
      <c r="N22" s="35">
        <f t="shared" si="12"/>
        <v>0</v>
      </c>
      <c r="O22" s="404">
        <f t="shared" si="12"/>
        <v>0</v>
      </c>
      <c r="P22" s="35">
        <f t="shared" si="12"/>
        <v>0</v>
      </c>
      <c r="Q22" s="35">
        <f t="shared" si="12"/>
        <v>5409421.1499999994</v>
      </c>
      <c r="R22" s="35">
        <f t="shared" si="12"/>
        <v>11076433.783333335</v>
      </c>
      <c r="S22" s="35">
        <f t="shared" si="12"/>
        <v>11076433.783333335</v>
      </c>
      <c r="T22" s="35">
        <f t="shared" si="12"/>
        <v>11076433.783333335</v>
      </c>
      <c r="U22" s="35">
        <f t="shared" si="12"/>
        <v>0</v>
      </c>
      <c r="V22" s="35">
        <f t="shared" si="12"/>
        <v>0</v>
      </c>
      <c r="W22" s="35">
        <f t="shared" si="12"/>
        <v>0</v>
      </c>
      <c r="X22" s="150">
        <f t="shared" si="11"/>
        <v>38638722.5</v>
      </c>
    </row>
    <row r="23" spans="1:24" ht="13.8" x14ac:dyDescent="0.3">
      <c r="A23" s="32" t="s">
        <v>96</v>
      </c>
      <c r="B23" s="85"/>
      <c r="C23" s="33"/>
      <c r="D23" s="35"/>
      <c r="E23" s="35"/>
      <c r="F23" s="35"/>
      <c r="G23" s="35"/>
      <c r="H23" s="35"/>
      <c r="I23" s="35"/>
      <c r="K23" s="35"/>
      <c r="L23" s="35"/>
      <c r="M23" s="35"/>
      <c r="N23" s="35"/>
      <c r="O23" s="404"/>
      <c r="P23" s="35"/>
      <c r="Q23" s="35"/>
      <c r="R23" s="35"/>
      <c r="S23" s="35"/>
      <c r="T23" s="35"/>
      <c r="U23" s="35"/>
      <c r="V23" s="35"/>
      <c r="W23" s="35"/>
      <c r="X23" s="150"/>
    </row>
    <row r="24" spans="1:24" ht="13.8" x14ac:dyDescent="0.3">
      <c r="A24" s="32"/>
      <c r="B24" s="31" t="s">
        <v>273</v>
      </c>
      <c r="C24" s="33"/>
      <c r="D24" s="35">
        <v>0</v>
      </c>
      <c r="E24" s="35">
        <v>0</v>
      </c>
      <c r="F24" s="35">
        <v>0</v>
      </c>
      <c r="G24" s="35">
        <v>0</v>
      </c>
      <c r="H24" s="35">
        <v>0</v>
      </c>
      <c r="I24" s="35">
        <v>0</v>
      </c>
      <c r="J24" s="35">
        <v>0</v>
      </c>
      <c r="K24" s="35">
        <v>0</v>
      </c>
      <c r="L24" s="35">
        <v>0</v>
      </c>
      <c r="M24" s="35">
        <v>0</v>
      </c>
      <c r="N24" s="35">
        <v>0</v>
      </c>
      <c r="O24" s="404">
        <v>0</v>
      </c>
      <c r="P24" s="35">
        <v>0</v>
      </c>
      <c r="Q24" s="35">
        <v>0</v>
      </c>
      <c r="R24" s="35">
        <v>0</v>
      </c>
      <c r="S24" s="35">
        <v>0</v>
      </c>
      <c r="T24" s="35">
        <v>0</v>
      </c>
      <c r="U24" s="35">
        <v>0</v>
      </c>
      <c r="V24" s="35">
        <v>0</v>
      </c>
      <c r="W24" s="35">
        <v>0</v>
      </c>
      <c r="X24" s="150">
        <f>SUM(D24:W24)</f>
        <v>0</v>
      </c>
    </row>
    <row r="25" spans="1:24" ht="13.8" x14ac:dyDescent="0.3">
      <c r="A25" s="32"/>
      <c r="B25" s="31" t="s">
        <v>272</v>
      </c>
      <c r="C25" s="33"/>
      <c r="D25" s="35">
        <f t="shared" ref="D25:W25" si="13">SUMIFS(Full_Admin,Full_Project,$A$23,Full_Year,D$2)</f>
        <v>0</v>
      </c>
      <c r="E25" s="35">
        <f t="shared" si="13"/>
        <v>0</v>
      </c>
      <c r="F25" s="35">
        <f t="shared" si="13"/>
        <v>135611.1</v>
      </c>
      <c r="G25" s="35">
        <f t="shared" si="13"/>
        <v>144729.1</v>
      </c>
      <c r="H25" s="35">
        <f t="shared" si="13"/>
        <v>1137.5</v>
      </c>
      <c r="I25" s="35">
        <f t="shared" si="13"/>
        <v>310899.40000000002</v>
      </c>
      <c r="J25" s="35">
        <f t="shared" si="13"/>
        <v>1137.5</v>
      </c>
      <c r="K25" s="35">
        <f t="shared" si="13"/>
        <v>1137.5</v>
      </c>
      <c r="L25" s="35">
        <f t="shared" si="13"/>
        <v>1137.5</v>
      </c>
      <c r="M25" s="35">
        <f t="shared" si="13"/>
        <v>1137.5</v>
      </c>
      <c r="N25" s="35">
        <f t="shared" si="13"/>
        <v>473950</v>
      </c>
      <c r="O25" s="404">
        <f t="shared" si="13"/>
        <v>1137.5</v>
      </c>
      <c r="P25" s="35">
        <f t="shared" si="13"/>
        <v>1137.5</v>
      </c>
      <c r="Q25" s="35">
        <f t="shared" si="13"/>
        <v>1137.5</v>
      </c>
      <c r="R25" s="35">
        <f t="shared" si="13"/>
        <v>1137.5</v>
      </c>
      <c r="S25" s="35">
        <f t="shared" si="13"/>
        <v>225137.5</v>
      </c>
      <c r="T25" s="35">
        <f t="shared" si="13"/>
        <v>1137.5</v>
      </c>
      <c r="U25" s="35">
        <f t="shared" si="13"/>
        <v>1137.5</v>
      </c>
      <c r="V25" s="35">
        <f t="shared" si="13"/>
        <v>1137.5</v>
      </c>
      <c r="W25" s="35">
        <f t="shared" si="13"/>
        <v>308663.40000000002</v>
      </c>
      <c r="X25" s="150">
        <f t="shared" ref="X25:X27" si="14">SUM(D25:W25)</f>
        <v>1612640.5</v>
      </c>
    </row>
    <row r="26" spans="1:24" ht="13.8" x14ac:dyDescent="0.3">
      <c r="A26" s="32"/>
      <c r="B26" s="85" t="s">
        <v>5</v>
      </c>
      <c r="C26" s="33"/>
      <c r="D26" s="35">
        <f>SUMIFS(Full_Constr,Full_Project,$A$23,Full_Year,D$2)</f>
        <v>0</v>
      </c>
      <c r="E26" s="35">
        <f t="shared" ref="E26:W26" si="15">SUMIFS(Full_Constr,Full_Project,$A$23,Full_Year,E$2)</f>
        <v>0</v>
      </c>
      <c r="F26" s="35">
        <f t="shared" si="15"/>
        <v>1356111</v>
      </c>
      <c r="G26" s="35">
        <f t="shared" si="15"/>
        <v>1447291</v>
      </c>
      <c r="H26" s="35">
        <f t="shared" si="15"/>
        <v>11375</v>
      </c>
      <c r="I26" s="35">
        <f t="shared" si="15"/>
        <v>3108994</v>
      </c>
      <c r="J26" s="35">
        <f t="shared" si="15"/>
        <v>11375</v>
      </c>
      <c r="K26" s="35">
        <f t="shared" si="15"/>
        <v>11375</v>
      </c>
      <c r="L26" s="35">
        <f t="shared" si="15"/>
        <v>11375</v>
      </c>
      <c r="M26" s="35">
        <f t="shared" si="15"/>
        <v>11375</v>
      </c>
      <c r="N26" s="35">
        <f t="shared" si="15"/>
        <v>4739500</v>
      </c>
      <c r="O26" s="404">
        <f t="shared" si="15"/>
        <v>11375</v>
      </c>
      <c r="P26" s="35">
        <f t="shared" si="15"/>
        <v>11375</v>
      </c>
      <c r="Q26" s="35">
        <f t="shared" si="15"/>
        <v>11375</v>
      </c>
      <c r="R26" s="35">
        <f t="shared" si="15"/>
        <v>11375</v>
      </c>
      <c r="S26" s="35">
        <f t="shared" si="15"/>
        <v>2251375</v>
      </c>
      <c r="T26" s="35">
        <f t="shared" si="15"/>
        <v>11375</v>
      </c>
      <c r="U26" s="35">
        <f t="shared" si="15"/>
        <v>11375</v>
      </c>
      <c r="V26" s="35">
        <f t="shared" si="15"/>
        <v>11375</v>
      </c>
      <c r="W26" s="35">
        <f t="shared" si="15"/>
        <v>3086634</v>
      </c>
      <c r="X26" s="150">
        <f t="shared" si="14"/>
        <v>16126405</v>
      </c>
    </row>
    <row r="27" spans="1:24" ht="13.8" x14ac:dyDescent="0.3">
      <c r="A27" s="32"/>
      <c r="B27" s="85" t="s">
        <v>4</v>
      </c>
      <c r="C27" s="33"/>
      <c r="D27" s="35">
        <f t="shared" ref="D27:E27" si="16">SUM(D25:D26)</f>
        <v>0</v>
      </c>
      <c r="E27" s="35">
        <f t="shared" si="16"/>
        <v>0</v>
      </c>
      <c r="F27" s="35">
        <f t="shared" ref="F27:W27" si="17">SUM(F25:F26)</f>
        <v>1491722.1</v>
      </c>
      <c r="G27" s="35">
        <f t="shared" si="17"/>
        <v>1592020.1</v>
      </c>
      <c r="H27" s="35">
        <f t="shared" si="17"/>
        <v>12512.5</v>
      </c>
      <c r="I27" s="35">
        <f t="shared" si="17"/>
        <v>3419893.4</v>
      </c>
      <c r="J27" s="35">
        <f t="shared" si="17"/>
        <v>12512.5</v>
      </c>
      <c r="K27" s="35">
        <f t="shared" si="17"/>
        <v>12512.5</v>
      </c>
      <c r="L27" s="35">
        <f t="shared" si="17"/>
        <v>12512.5</v>
      </c>
      <c r="M27" s="35">
        <f t="shared" si="17"/>
        <v>12512.5</v>
      </c>
      <c r="N27" s="35">
        <f t="shared" si="17"/>
        <v>5213450</v>
      </c>
      <c r="O27" s="404">
        <f t="shared" si="17"/>
        <v>12512.5</v>
      </c>
      <c r="P27" s="35">
        <f t="shared" si="17"/>
        <v>12512.5</v>
      </c>
      <c r="Q27" s="35">
        <f t="shared" si="17"/>
        <v>12512.5</v>
      </c>
      <c r="R27" s="35">
        <f t="shared" si="17"/>
        <v>12512.5</v>
      </c>
      <c r="S27" s="35">
        <f t="shared" si="17"/>
        <v>2476512.5</v>
      </c>
      <c r="T27" s="35">
        <f t="shared" si="17"/>
        <v>12512.5</v>
      </c>
      <c r="U27" s="35">
        <f t="shared" si="17"/>
        <v>12512.5</v>
      </c>
      <c r="V27" s="35">
        <f t="shared" si="17"/>
        <v>12512.5</v>
      </c>
      <c r="W27" s="35">
        <f t="shared" si="17"/>
        <v>3395297.4</v>
      </c>
      <c r="X27" s="150">
        <f t="shared" si="14"/>
        <v>17739045.5</v>
      </c>
    </row>
    <row r="28" spans="1:24" ht="13.8" x14ac:dyDescent="0.3">
      <c r="A28" s="354" t="s">
        <v>4</v>
      </c>
      <c r="B28" s="355"/>
      <c r="C28" s="356"/>
      <c r="D28" s="356">
        <f>SUM(D7,D12,D17,D22,D27)</f>
        <v>0</v>
      </c>
      <c r="E28" s="356">
        <f t="shared" ref="E28:W28" si="18">SUM(E7,E12,E17,E22,E27)</f>
        <v>2304520.1666666665</v>
      </c>
      <c r="F28" s="356">
        <f t="shared" si="18"/>
        <v>8195780.7666666675</v>
      </c>
      <c r="G28" s="356">
        <f t="shared" si="18"/>
        <v>8508384.3166666664</v>
      </c>
      <c r="H28" s="356">
        <f t="shared" si="18"/>
        <v>1568226.1</v>
      </c>
      <c r="I28" s="356">
        <f t="shared" si="18"/>
        <v>3419893.4</v>
      </c>
      <c r="J28" s="356">
        <f t="shared" si="18"/>
        <v>12512.5</v>
      </c>
      <c r="K28" s="356">
        <f t="shared" si="18"/>
        <v>12512.5</v>
      </c>
      <c r="L28" s="356">
        <f t="shared" si="18"/>
        <v>12512.5</v>
      </c>
      <c r="M28" s="356">
        <f t="shared" si="18"/>
        <v>12512.5</v>
      </c>
      <c r="N28" s="356">
        <f t="shared" si="18"/>
        <v>5213450</v>
      </c>
      <c r="O28" s="405">
        <f t="shared" si="18"/>
        <v>12512.5</v>
      </c>
      <c r="P28" s="356">
        <f t="shared" si="18"/>
        <v>12512.5</v>
      </c>
      <c r="Q28" s="356">
        <f t="shared" si="18"/>
        <v>5421933.6499999994</v>
      </c>
      <c r="R28" s="356">
        <f t="shared" si="18"/>
        <v>11088946.283333335</v>
      </c>
      <c r="S28" s="356">
        <f t="shared" si="18"/>
        <v>13552946.283333335</v>
      </c>
      <c r="T28" s="356">
        <f t="shared" si="18"/>
        <v>11088946.283333335</v>
      </c>
      <c r="U28" s="356">
        <f t="shared" si="18"/>
        <v>12512.5</v>
      </c>
      <c r="V28" s="356">
        <f t="shared" si="18"/>
        <v>12512.5</v>
      </c>
      <c r="W28" s="356">
        <f t="shared" si="18"/>
        <v>3395297.4</v>
      </c>
      <c r="X28" s="151">
        <f>X27+X17+X22+X12+X7</f>
        <v>73858424.650000006</v>
      </c>
    </row>
    <row r="29" spans="1:24" ht="13.8" x14ac:dyDescent="0.3">
      <c r="A29" s="32" t="s">
        <v>8</v>
      </c>
      <c r="B29" s="31"/>
      <c r="C29" s="264" t="s">
        <v>256</v>
      </c>
      <c r="D29" s="263"/>
      <c r="E29" s="263"/>
      <c r="F29" s="263"/>
      <c r="G29" s="35"/>
      <c r="H29" s="35"/>
      <c r="I29" s="35"/>
      <c r="J29" s="35"/>
      <c r="K29" s="35"/>
      <c r="L29" s="156"/>
      <c r="M29" s="156"/>
      <c r="N29" s="156"/>
      <c r="O29" s="406"/>
      <c r="P29" s="156"/>
      <c r="Q29" s="156"/>
      <c r="R29" s="156"/>
      <c r="S29" s="156"/>
      <c r="T29" s="156"/>
      <c r="U29" s="156"/>
      <c r="V29" s="156"/>
      <c r="W29" s="156"/>
      <c r="X29" s="152"/>
    </row>
    <row r="30" spans="1:24" ht="13.8" x14ac:dyDescent="0.3">
      <c r="A30" s="157"/>
      <c r="B30" s="158" t="s">
        <v>164</v>
      </c>
      <c r="C30" s="159"/>
      <c r="D30" s="160">
        <f t="shared" ref="D30:E30" si="19">SUM(D31:D35)</f>
        <v>0</v>
      </c>
      <c r="E30" s="160">
        <f t="shared" si="19"/>
        <v>1537114.9511666666</v>
      </c>
      <c r="F30" s="160">
        <f t="shared" ref="F30:W30" si="20">SUM(F31:F35)</f>
        <v>5466585.771366667</v>
      </c>
      <c r="G30" s="160">
        <f t="shared" si="20"/>
        <v>5675092.3392166663</v>
      </c>
      <c r="H30" s="160">
        <f t="shared" si="20"/>
        <v>1046006.8087000001</v>
      </c>
      <c r="I30" s="160">
        <f t="shared" si="20"/>
        <v>2281068.8977999999</v>
      </c>
      <c r="J30" s="160">
        <f t="shared" si="20"/>
        <v>8345.8374999999996</v>
      </c>
      <c r="K30" s="160">
        <f t="shared" si="20"/>
        <v>8345.8374999999996</v>
      </c>
      <c r="L30" s="160">
        <f t="shared" si="20"/>
        <v>8345.8374999999996</v>
      </c>
      <c r="M30" s="160">
        <f t="shared" si="20"/>
        <v>8345.8374999999996</v>
      </c>
      <c r="N30" s="160">
        <f t="shared" si="20"/>
        <v>3477371.1500000004</v>
      </c>
      <c r="O30" s="407">
        <f t="shared" si="20"/>
        <v>8345.8374999999996</v>
      </c>
      <c r="P30" s="160">
        <f t="shared" si="20"/>
        <v>8345.8374999999996</v>
      </c>
      <c r="Q30" s="160">
        <f t="shared" si="20"/>
        <v>3670523.9560499997</v>
      </c>
      <c r="R30" s="160">
        <f t="shared" si="20"/>
        <v>7507091.5088166688</v>
      </c>
      <c r="S30" s="160">
        <f t="shared" si="20"/>
        <v>9150579.5088166688</v>
      </c>
      <c r="T30" s="160">
        <f t="shared" si="20"/>
        <v>7507091.5088166688</v>
      </c>
      <c r="U30" s="160">
        <f t="shared" si="20"/>
        <v>8345.8374999999996</v>
      </c>
      <c r="V30" s="160">
        <f t="shared" si="20"/>
        <v>8345.8374999999996</v>
      </c>
      <c r="W30" s="160">
        <f t="shared" si="20"/>
        <v>2264663.3658000003</v>
      </c>
      <c r="X30" s="153">
        <f t="shared" ref="X30:X41" si="21">SUM(F30:W30)</f>
        <v>48112841.515383333</v>
      </c>
    </row>
    <row r="31" spans="1:24" ht="13.8" x14ac:dyDescent="0.3">
      <c r="A31" s="157"/>
      <c r="B31" s="161" t="s">
        <v>218</v>
      </c>
      <c r="C31" s="357">
        <f>COW_20MGD</f>
        <v>0.66700000000000004</v>
      </c>
      <c r="D31" s="162">
        <f t="shared" ref="D31:W31" si="22">D$7*$C$31</f>
        <v>0</v>
      </c>
      <c r="E31" s="162">
        <f t="shared" si="22"/>
        <v>1537114.9511666666</v>
      </c>
      <c r="F31" s="162">
        <f t="shared" si="22"/>
        <v>4471607.1306666667</v>
      </c>
      <c r="G31" s="162">
        <f t="shared" si="22"/>
        <v>4471607.1306666667</v>
      </c>
      <c r="H31" s="162">
        <f t="shared" si="22"/>
        <v>0</v>
      </c>
      <c r="I31" s="162">
        <f t="shared" si="22"/>
        <v>0</v>
      </c>
      <c r="J31" s="162">
        <f t="shared" si="22"/>
        <v>0</v>
      </c>
      <c r="K31" s="162">
        <f t="shared" si="22"/>
        <v>0</v>
      </c>
      <c r="L31" s="162">
        <f t="shared" si="22"/>
        <v>0</v>
      </c>
      <c r="M31" s="162">
        <f t="shared" si="22"/>
        <v>0</v>
      </c>
      <c r="N31" s="162">
        <f t="shared" si="22"/>
        <v>0</v>
      </c>
      <c r="O31" s="408">
        <f t="shared" si="22"/>
        <v>0</v>
      </c>
      <c r="P31" s="162">
        <f t="shared" si="22"/>
        <v>0</v>
      </c>
      <c r="Q31" s="162">
        <f t="shared" si="22"/>
        <v>0</v>
      </c>
      <c r="R31" s="162">
        <f t="shared" si="22"/>
        <v>0</v>
      </c>
      <c r="S31" s="162">
        <f t="shared" si="22"/>
        <v>0</v>
      </c>
      <c r="T31" s="162">
        <f t="shared" si="22"/>
        <v>0</v>
      </c>
      <c r="U31" s="162">
        <f t="shared" si="22"/>
        <v>0</v>
      </c>
      <c r="V31" s="162">
        <f t="shared" si="22"/>
        <v>0</v>
      </c>
      <c r="W31" s="162">
        <f t="shared" si="22"/>
        <v>0</v>
      </c>
      <c r="X31" s="154">
        <f t="shared" si="21"/>
        <v>8943214.2613333333</v>
      </c>
    </row>
    <row r="32" spans="1:24" ht="13.8" x14ac:dyDescent="0.3">
      <c r="A32" s="157"/>
      <c r="B32" s="161" t="s">
        <v>163</v>
      </c>
      <c r="C32" s="357">
        <f>COW_Safety</f>
        <v>0.66700000000000004</v>
      </c>
      <c r="D32" s="162">
        <f t="shared" ref="D32:W32" si="23">D$12*$C$32</f>
        <v>0</v>
      </c>
      <c r="E32" s="162">
        <f t="shared" si="23"/>
        <v>0</v>
      </c>
      <c r="F32" s="162">
        <f t="shared" si="23"/>
        <v>0</v>
      </c>
      <c r="G32" s="162">
        <f t="shared" si="23"/>
        <v>18680.63565</v>
      </c>
      <c r="H32" s="162">
        <f t="shared" si="23"/>
        <v>392293.34865</v>
      </c>
      <c r="I32" s="162">
        <f t="shared" si="23"/>
        <v>0</v>
      </c>
      <c r="J32" s="162">
        <f t="shared" si="23"/>
        <v>0</v>
      </c>
      <c r="K32" s="162">
        <f t="shared" si="23"/>
        <v>0</v>
      </c>
      <c r="L32" s="162">
        <f t="shared" si="23"/>
        <v>0</v>
      </c>
      <c r="M32" s="162">
        <f t="shared" si="23"/>
        <v>0</v>
      </c>
      <c r="N32" s="162">
        <f t="shared" si="23"/>
        <v>0</v>
      </c>
      <c r="O32" s="408">
        <f t="shared" si="23"/>
        <v>0</v>
      </c>
      <c r="P32" s="162">
        <f t="shared" si="23"/>
        <v>0</v>
      </c>
      <c r="Q32" s="162">
        <f t="shared" si="23"/>
        <v>0</v>
      </c>
      <c r="R32" s="162">
        <f t="shared" si="23"/>
        <v>0</v>
      </c>
      <c r="S32" s="162">
        <f t="shared" si="23"/>
        <v>0</v>
      </c>
      <c r="T32" s="162">
        <f t="shared" si="23"/>
        <v>0</v>
      </c>
      <c r="U32" s="162">
        <f t="shared" si="23"/>
        <v>0</v>
      </c>
      <c r="V32" s="162">
        <f t="shared" si="23"/>
        <v>0</v>
      </c>
      <c r="W32" s="162">
        <f t="shared" si="23"/>
        <v>0</v>
      </c>
      <c r="X32" s="154">
        <f t="shared" si="21"/>
        <v>410973.98430000001</v>
      </c>
    </row>
    <row r="33" spans="1:24" ht="13.8" x14ac:dyDescent="0.3">
      <c r="A33" s="157"/>
      <c r="B33" s="161" t="s">
        <v>138</v>
      </c>
      <c r="C33" s="357">
        <f>COW_Seismic</f>
        <v>0.66700000000000004</v>
      </c>
      <c r="D33" s="162">
        <f t="shared" ref="D33:W33" si="24">D$17*$C$33</f>
        <v>0</v>
      </c>
      <c r="E33" s="162">
        <f t="shared" si="24"/>
        <v>0</v>
      </c>
      <c r="F33" s="162">
        <f t="shared" si="24"/>
        <v>0</v>
      </c>
      <c r="G33" s="162">
        <f t="shared" si="24"/>
        <v>122927.16620000001</v>
      </c>
      <c r="H33" s="162">
        <f t="shared" si="24"/>
        <v>645367.62255000009</v>
      </c>
      <c r="I33" s="162">
        <f t="shared" si="24"/>
        <v>0</v>
      </c>
      <c r="J33" s="162">
        <f t="shared" si="24"/>
        <v>0</v>
      </c>
      <c r="K33" s="162">
        <f t="shared" si="24"/>
        <v>0</v>
      </c>
      <c r="L33" s="162">
        <f t="shared" si="24"/>
        <v>0</v>
      </c>
      <c r="M33" s="162">
        <f t="shared" si="24"/>
        <v>0</v>
      </c>
      <c r="N33" s="162">
        <f t="shared" si="24"/>
        <v>0</v>
      </c>
      <c r="O33" s="408">
        <f t="shared" si="24"/>
        <v>0</v>
      </c>
      <c r="P33" s="162">
        <f t="shared" si="24"/>
        <v>0</v>
      </c>
      <c r="Q33" s="162">
        <f t="shared" si="24"/>
        <v>0</v>
      </c>
      <c r="R33" s="162">
        <f t="shared" si="24"/>
        <v>0</v>
      </c>
      <c r="S33" s="162">
        <f t="shared" si="24"/>
        <v>0</v>
      </c>
      <c r="T33" s="162">
        <f t="shared" si="24"/>
        <v>0</v>
      </c>
      <c r="U33" s="162">
        <f t="shared" si="24"/>
        <v>0</v>
      </c>
      <c r="V33" s="162">
        <f t="shared" si="24"/>
        <v>0</v>
      </c>
      <c r="W33" s="162">
        <f t="shared" si="24"/>
        <v>0</v>
      </c>
      <c r="X33" s="154">
        <f>SUM(F33:W33)</f>
        <v>768294.78875000007</v>
      </c>
    </row>
    <row r="34" spans="1:24" ht="13.8" x14ac:dyDescent="0.3">
      <c r="A34" s="157"/>
      <c r="B34" s="161" t="s">
        <v>219</v>
      </c>
      <c r="C34" s="357">
        <f>COW_30MGD</f>
        <v>0.67700000000000005</v>
      </c>
      <c r="D34" s="162">
        <f t="shared" ref="D34:W34" si="25">D$22*$C$34</f>
        <v>0</v>
      </c>
      <c r="E34" s="162">
        <f t="shared" si="25"/>
        <v>0</v>
      </c>
      <c r="F34" s="162">
        <f t="shared" si="25"/>
        <v>0</v>
      </c>
      <c r="G34" s="162">
        <f t="shared" si="25"/>
        <v>0</v>
      </c>
      <c r="H34" s="162">
        <f t="shared" si="25"/>
        <v>0</v>
      </c>
      <c r="I34" s="162">
        <f t="shared" si="25"/>
        <v>0</v>
      </c>
      <c r="J34" s="162">
        <f t="shared" si="25"/>
        <v>0</v>
      </c>
      <c r="K34" s="162">
        <f t="shared" si="25"/>
        <v>0</v>
      </c>
      <c r="L34" s="162">
        <f t="shared" si="25"/>
        <v>0</v>
      </c>
      <c r="M34" s="162">
        <f t="shared" si="25"/>
        <v>0</v>
      </c>
      <c r="N34" s="162">
        <f t="shared" si="25"/>
        <v>0</v>
      </c>
      <c r="O34" s="408">
        <f t="shared" si="25"/>
        <v>0</v>
      </c>
      <c r="P34" s="162">
        <f t="shared" si="25"/>
        <v>0</v>
      </c>
      <c r="Q34" s="162">
        <f t="shared" si="25"/>
        <v>3662178.1185499998</v>
      </c>
      <c r="R34" s="162">
        <f t="shared" si="25"/>
        <v>7498745.6713166684</v>
      </c>
      <c r="S34" s="162">
        <f t="shared" si="25"/>
        <v>7498745.6713166684</v>
      </c>
      <c r="T34" s="162">
        <f t="shared" si="25"/>
        <v>7498745.6713166684</v>
      </c>
      <c r="U34" s="162">
        <f t="shared" si="25"/>
        <v>0</v>
      </c>
      <c r="V34" s="162">
        <f t="shared" si="25"/>
        <v>0</v>
      </c>
      <c r="W34" s="162">
        <f t="shared" si="25"/>
        <v>0</v>
      </c>
      <c r="X34" s="154">
        <f t="shared" si="21"/>
        <v>26158415.132500004</v>
      </c>
    </row>
    <row r="35" spans="1:24" ht="13.8" x14ac:dyDescent="0.3">
      <c r="A35" s="157"/>
      <c r="B35" s="161" t="s">
        <v>96</v>
      </c>
      <c r="C35" s="357">
        <f>COW_RR</f>
        <v>0.66700000000000004</v>
      </c>
      <c r="D35" s="162">
        <f t="shared" ref="D35:W35" si="26">D$27*$C$35</f>
        <v>0</v>
      </c>
      <c r="E35" s="162">
        <f t="shared" si="26"/>
        <v>0</v>
      </c>
      <c r="F35" s="162">
        <f t="shared" si="26"/>
        <v>994978.64070000011</v>
      </c>
      <c r="G35" s="162">
        <f t="shared" si="26"/>
        <v>1061877.4067000002</v>
      </c>
      <c r="H35" s="162">
        <f t="shared" si="26"/>
        <v>8345.8374999999996</v>
      </c>
      <c r="I35" s="162">
        <f t="shared" si="26"/>
        <v>2281068.8977999999</v>
      </c>
      <c r="J35" s="162">
        <f t="shared" si="26"/>
        <v>8345.8374999999996</v>
      </c>
      <c r="K35" s="162">
        <f t="shared" si="26"/>
        <v>8345.8374999999996</v>
      </c>
      <c r="L35" s="162">
        <f t="shared" si="26"/>
        <v>8345.8374999999996</v>
      </c>
      <c r="M35" s="162">
        <f t="shared" si="26"/>
        <v>8345.8374999999996</v>
      </c>
      <c r="N35" s="162">
        <f t="shared" si="26"/>
        <v>3477371.1500000004</v>
      </c>
      <c r="O35" s="408">
        <f t="shared" si="26"/>
        <v>8345.8374999999996</v>
      </c>
      <c r="P35" s="162">
        <f t="shared" si="26"/>
        <v>8345.8374999999996</v>
      </c>
      <c r="Q35" s="162">
        <f t="shared" si="26"/>
        <v>8345.8374999999996</v>
      </c>
      <c r="R35" s="162">
        <f t="shared" si="26"/>
        <v>8345.8374999999996</v>
      </c>
      <c r="S35" s="162">
        <f t="shared" si="26"/>
        <v>1651833.8375000001</v>
      </c>
      <c r="T35" s="162">
        <f t="shared" si="26"/>
        <v>8345.8374999999996</v>
      </c>
      <c r="U35" s="162">
        <f t="shared" si="26"/>
        <v>8345.8374999999996</v>
      </c>
      <c r="V35" s="162">
        <f t="shared" si="26"/>
        <v>8345.8374999999996</v>
      </c>
      <c r="W35" s="162">
        <f t="shared" si="26"/>
        <v>2264663.3658000003</v>
      </c>
      <c r="X35" s="154">
        <f t="shared" si="21"/>
        <v>11831943.348500006</v>
      </c>
    </row>
    <row r="36" spans="1:24" ht="13.8" x14ac:dyDescent="0.3">
      <c r="A36" s="157"/>
      <c r="B36" s="158" t="s">
        <v>165</v>
      </c>
      <c r="C36" s="358"/>
      <c r="D36" s="160">
        <f t="shared" ref="D36:W36" si="27">SUM(D37:D41)</f>
        <v>0</v>
      </c>
      <c r="E36" s="160">
        <f t="shared" si="27"/>
        <v>767405.21549999982</v>
      </c>
      <c r="F36" s="160">
        <f t="shared" si="27"/>
        <v>2729194.9952999996</v>
      </c>
      <c r="G36" s="160">
        <f t="shared" si="27"/>
        <v>2833291.9774499997</v>
      </c>
      <c r="H36" s="160">
        <f t="shared" si="27"/>
        <v>522219.29129999992</v>
      </c>
      <c r="I36" s="160">
        <f t="shared" si="27"/>
        <v>1138824.5021999998</v>
      </c>
      <c r="J36" s="160">
        <f t="shared" si="27"/>
        <v>4166.6624999999995</v>
      </c>
      <c r="K36" s="160">
        <f t="shared" si="27"/>
        <v>4166.6624999999995</v>
      </c>
      <c r="L36" s="160">
        <f t="shared" si="27"/>
        <v>4166.6624999999995</v>
      </c>
      <c r="M36" s="160">
        <f t="shared" si="27"/>
        <v>4166.6624999999995</v>
      </c>
      <c r="N36" s="160">
        <f t="shared" si="27"/>
        <v>1736078.8499999999</v>
      </c>
      <c r="O36" s="407">
        <f t="shared" si="27"/>
        <v>4166.6624999999995</v>
      </c>
      <c r="P36" s="160">
        <f t="shared" si="27"/>
        <v>4166.6624999999995</v>
      </c>
      <c r="Q36" s="160">
        <f t="shared" si="27"/>
        <v>1751409.6939499998</v>
      </c>
      <c r="R36" s="160">
        <f t="shared" si="27"/>
        <v>3581854.7745166668</v>
      </c>
      <c r="S36" s="160">
        <f t="shared" si="27"/>
        <v>4402366.7745166663</v>
      </c>
      <c r="T36" s="160">
        <f t="shared" si="27"/>
        <v>3581854.7745166668</v>
      </c>
      <c r="U36" s="160">
        <f t="shared" si="27"/>
        <v>4166.6624999999995</v>
      </c>
      <c r="V36" s="160">
        <f t="shared" si="27"/>
        <v>4166.6624999999995</v>
      </c>
      <c r="W36" s="160">
        <f t="shared" si="27"/>
        <v>1130634.0341999999</v>
      </c>
      <c r="X36" s="153">
        <f t="shared" si="21"/>
        <v>23441062.967950001</v>
      </c>
    </row>
    <row r="37" spans="1:24" ht="13.8" x14ac:dyDescent="0.3">
      <c r="A37" s="157"/>
      <c r="B37" s="161" t="s">
        <v>218</v>
      </c>
      <c r="C37" s="357">
        <f>COS_20MGD</f>
        <v>0.33299999999999996</v>
      </c>
      <c r="D37" s="162">
        <f t="shared" ref="D37:W37" si="28">D$7*$C$37</f>
        <v>0</v>
      </c>
      <c r="E37" s="162">
        <f t="shared" si="28"/>
        <v>767405.21549999982</v>
      </c>
      <c r="F37" s="162">
        <f t="shared" si="28"/>
        <v>2232451.5359999998</v>
      </c>
      <c r="G37" s="162">
        <f t="shared" si="28"/>
        <v>2232451.5359999998</v>
      </c>
      <c r="H37" s="162">
        <f t="shared" si="28"/>
        <v>0</v>
      </c>
      <c r="I37" s="162">
        <f t="shared" si="28"/>
        <v>0</v>
      </c>
      <c r="J37" s="162">
        <f t="shared" si="28"/>
        <v>0</v>
      </c>
      <c r="K37" s="162">
        <f t="shared" si="28"/>
        <v>0</v>
      </c>
      <c r="L37" s="162">
        <f t="shared" si="28"/>
        <v>0</v>
      </c>
      <c r="M37" s="162">
        <f t="shared" si="28"/>
        <v>0</v>
      </c>
      <c r="N37" s="162">
        <f t="shared" si="28"/>
        <v>0</v>
      </c>
      <c r="O37" s="408">
        <f t="shared" si="28"/>
        <v>0</v>
      </c>
      <c r="P37" s="162">
        <f t="shared" si="28"/>
        <v>0</v>
      </c>
      <c r="Q37" s="162">
        <f t="shared" si="28"/>
        <v>0</v>
      </c>
      <c r="R37" s="162">
        <f t="shared" si="28"/>
        <v>0</v>
      </c>
      <c r="S37" s="162">
        <f t="shared" si="28"/>
        <v>0</v>
      </c>
      <c r="T37" s="162">
        <f t="shared" si="28"/>
        <v>0</v>
      </c>
      <c r="U37" s="162">
        <f t="shared" si="28"/>
        <v>0</v>
      </c>
      <c r="V37" s="162">
        <f t="shared" si="28"/>
        <v>0</v>
      </c>
      <c r="W37" s="162">
        <f t="shared" si="28"/>
        <v>0</v>
      </c>
      <c r="X37" s="154">
        <f t="shared" si="21"/>
        <v>4464903.0719999997</v>
      </c>
    </row>
    <row r="38" spans="1:24" ht="13.8" x14ac:dyDescent="0.3">
      <c r="A38" s="157"/>
      <c r="B38" s="161" t="s">
        <v>163</v>
      </c>
      <c r="C38" s="357">
        <f>COS_Safety</f>
        <v>0.33299999999999996</v>
      </c>
      <c r="D38" s="162">
        <f t="shared" ref="D38:W38" si="29">D$12*$C$38</f>
        <v>0</v>
      </c>
      <c r="E38" s="162">
        <f t="shared" si="29"/>
        <v>0</v>
      </c>
      <c r="F38" s="162">
        <f t="shared" si="29"/>
        <v>0</v>
      </c>
      <c r="G38" s="162">
        <f t="shared" si="29"/>
        <v>9326.3143499999987</v>
      </c>
      <c r="H38" s="162">
        <f t="shared" si="29"/>
        <v>195852.60134999995</v>
      </c>
      <c r="I38" s="162">
        <f t="shared" si="29"/>
        <v>0</v>
      </c>
      <c r="J38" s="162">
        <f t="shared" si="29"/>
        <v>0</v>
      </c>
      <c r="K38" s="162">
        <f t="shared" si="29"/>
        <v>0</v>
      </c>
      <c r="L38" s="162">
        <f t="shared" si="29"/>
        <v>0</v>
      </c>
      <c r="M38" s="162">
        <f t="shared" si="29"/>
        <v>0</v>
      </c>
      <c r="N38" s="162">
        <f t="shared" si="29"/>
        <v>0</v>
      </c>
      <c r="O38" s="408">
        <f t="shared" si="29"/>
        <v>0</v>
      </c>
      <c r="P38" s="162">
        <f t="shared" si="29"/>
        <v>0</v>
      </c>
      <c r="Q38" s="162">
        <f t="shared" si="29"/>
        <v>0</v>
      </c>
      <c r="R38" s="162">
        <f t="shared" si="29"/>
        <v>0</v>
      </c>
      <c r="S38" s="162">
        <f t="shared" si="29"/>
        <v>0</v>
      </c>
      <c r="T38" s="162">
        <f t="shared" si="29"/>
        <v>0</v>
      </c>
      <c r="U38" s="162">
        <f t="shared" si="29"/>
        <v>0</v>
      </c>
      <c r="V38" s="162">
        <f t="shared" si="29"/>
        <v>0</v>
      </c>
      <c r="W38" s="162">
        <f t="shared" si="29"/>
        <v>0</v>
      </c>
      <c r="X38" s="154">
        <f t="shared" si="21"/>
        <v>205178.91569999995</v>
      </c>
    </row>
    <row r="39" spans="1:24" ht="13.8" x14ac:dyDescent="0.3">
      <c r="A39" s="157"/>
      <c r="B39" s="161" t="s">
        <v>138</v>
      </c>
      <c r="C39" s="357">
        <f>COS_Seismic</f>
        <v>0.33299999999999996</v>
      </c>
      <c r="D39" s="162">
        <f t="shared" ref="D39:W39" si="30">D$17*$C$39</f>
        <v>0</v>
      </c>
      <c r="E39" s="162">
        <f t="shared" si="30"/>
        <v>0</v>
      </c>
      <c r="F39" s="162">
        <f t="shared" si="30"/>
        <v>0</v>
      </c>
      <c r="G39" s="162">
        <f t="shared" si="30"/>
        <v>61371.433799999992</v>
      </c>
      <c r="H39" s="162">
        <f t="shared" si="30"/>
        <v>322200.02744999999</v>
      </c>
      <c r="I39" s="162">
        <f t="shared" si="30"/>
        <v>0</v>
      </c>
      <c r="J39" s="162">
        <f t="shared" si="30"/>
        <v>0</v>
      </c>
      <c r="K39" s="162">
        <f t="shared" si="30"/>
        <v>0</v>
      </c>
      <c r="L39" s="162">
        <f t="shared" si="30"/>
        <v>0</v>
      </c>
      <c r="M39" s="162">
        <f t="shared" si="30"/>
        <v>0</v>
      </c>
      <c r="N39" s="162">
        <f t="shared" si="30"/>
        <v>0</v>
      </c>
      <c r="O39" s="408">
        <f t="shared" si="30"/>
        <v>0</v>
      </c>
      <c r="P39" s="162">
        <f t="shared" si="30"/>
        <v>0</v>
      </c>
      <c r="Q39" s="162">
        <f t="shared" si="30"/>
        <v>0</v>
      </c>
      <c r="R39" s="162">
        <f t="shared" si="30"/>
        <v>0</v>
      </c>
      <c r="S39" s="162">
        <f t="shared" si="30"/>
        <v>0</v>
      </c>
      <c r="T39" s="162">
        <f t="shared" si="30"/>
        <v>0</v>
      </c>
      <c r="U39" s="162">
        <f t="shared" si="30"/>
        <v>0</v>
      </c>
      <c r="V39" s="162">
        <f t="shared" si="30"/>
        <v>0</v>
      </c>
      <c r="W39" s="162">
        <f t="shared" si="30"/>
        <v>0</v>
      </c>
      <c r="X39" s="154">
        <f>SUM(F39:W39)</f>
        <v>383571.46124999999</v>
      </c>
    </row>
    <row r="40" spans="1:24" ht="13.8" x14ac:dyDescent="0.3">
      <c r="A40" s="157"/>
      <c r="B40" s="161" t="s">
        <v>219</v>
      </c>
      <c r="C40" s="357">
        <f>COS_30MGD</f>
        <v>0.32299999999999995</v>
      </c>
      <c r="D40" s="162">
        <f t="shared" ref="D40:W40" si="31">D$22*$C$40</f>
        <v>0</v>
      </c>
      <c r="E40" s="162">
        <f t="shared" si="31"/>
        <v>0</v>
      </c>
      <c r="F40" s="162">
        <f t="shared" si="31"/>
        <v>0</v>
      </c>
      <c r="G40" s="162">
        <f t="shared" si="31"/>
        <v>0</v>
      </c>
      <c r="H40" s="162">
        <f t="shared" si="31"/>
        <v>0</v>
      </c>
      <c r="I40" s="162">
        <f t="shared" si="31"/>
        <v>0</v>
      </c>
      <c r="J40" s="162">
        <f t="shared" si="31"/>
        <v>0</v>
      </c>
      <c r="K40" s="162">
        <f t="shared" si="31"/>
        <v>0</v>
      </c>
      <c r="L40" s="162">
        <f t="shared" si="31"/>
        <v>0</v>
      </c>
      <c r="M40" s="162">
        <f t="shared" si="31"/>
        <v>0</v>
      </c>
      <c r="N40" s="162">
        <f t="shared" si="31"/>
        <v>0</v>
      </c>
      <c r="O40" s="408">
        <f t="shared" si="31"/>
        <v>0</v>
      </c>
      <c r="P40" s="162">
        <f t="shared" si="31"/>
        <v>0</v>
      </c>
      <c r="Q40" s="162">
        <f t="shared" si="31"/>
        <v>1747243.0314499997</v>
      </c>
      <c r="R40" s="162">
        <f t="shared" si="31"/>
        <v>3577688.1120166667</v>
      </c>
      <c r="S40" s="162">
        <f t="shared" si="31"/>
        <v>3577688.1120166667</v>
      </c>
      <c r="T40" s="162">
        <f t="shared" si="31"/>
        <v>3577688.1120166667</v>
      </c>
      <c r="U40" s="162">
        <f t="shared" si="31"/>
        <v>0</v>
      </c>
      <c r="V40" s="162">
        <f t="shared" si="31"/>
        <v>0</v>
      </c>
      <c r="W40" s="162">
        <f t="shared" si="31"/>
        <v>0</v>
      </c>
      <c r="X40" s="154">
        <f t="shared" si="21"/>
        <v>12480307.3675</v>
      </c>
    </row>
    <row r="41" spans="1:24" ht="13.8" x14ac:dyDescent="0.3">
      <c r="A41" s="163"/>
      <c r="B41" s="161" t="s">
        <v>96</v>
      </c>
      <c r="C41" s="357">
        <f>COS_RR</f>
        <v>0.33299999999999996</v>
      </c>
      <c r="D41" s="164">
        <f t="shared" ref="D41:W41" si="32">D$27*$C$41</f>
        <v>0</v>
      </c>
      <c r="E41" s="164">
        <f t="shared" si="32"/>
        <v>0</v>
      </c>
      <c r="F41" s="164">
        <f t="shared" si="32"/>
        <v>496743.45929999999</v>
      </c>
      <c r="G41" s="164">
        <f t="shared" si="32"/>
        <v>530142.69329999993</v>
      </c>
      <c r="H41" s="164">
        <f t="shared" si="32"/>
        <v>4166.6624999999995</v>
      </c>
      <c r="I41" s="164">
        <f t="shared" si="32"/>
        <v>1138824.5021999998</v>
      </c>
      <c r="J41" s="164">
        <f t="shared" si="32"/>
        <v>4166.6624999999995</v>
      </c>
      <c r="K41" s="164">
        <f t="shared" si="32"/>
        <v>4166.6624999999995</v>
      </c>
      <c r="L41" s="164">
        <f t="shared" si="32"/>
        <v>4166.6624999999995</v>
      </c>
      <c r="M41" s="164">
        <f t="shared" si="32"/>
        <v>4166.6624999999995</v>
      </c>
      <c r="N41" s="164">
        <f t="shared" si="32"/>
        <v>1736078.8499999999</v>
      </c>
      <c r="O41" s="409">
        <f t="shared" si="32"/>
        <v>4166.6624999999995</v>
      </c>
      <c r="P41" s="164">
        <f t="shared" si="32"/>
        <v>4166.6624999999995</v>
      </c>
      <c r="Q41" s="164">
        <f t="shared" si="32"/>
        <v>4166.6624999999995</v>
      </c>
      <c r="R41" s="164">
        <f t="shared" si="32"/>
        <v>4166.6624999999995</v>
      </c>
      <c r="S41" s="164">
        <f t="shared" si="32"/>
        <v>824678.66249999986</v>
      </c>
      <c r="T41" s="164">
        <f t="shared" si="32"/>
        <v>4166.6624999999995</v>
      </c>
      <c r="U41" s="164">
        <f t="shared" si="32"/>
        <v>4166.6624999999995</v>
      </c>
      <c r="V41" s="164">
        <f t="shared" si="32"/>
        <v>4166.6624999999995</v>
      </c>
      <c r="W41" s="164">
        <f t="shared" si="32"/>
        <v>1130634.0341999999</v>
      </c>
      <c r="X41" s="155">
        <f t="shared" si="21"/>
        <v>5907102.1514999988</v>
      </c>
    </row>
    <row r="42" spans="1:24" x14ac:dyDescent="0.25">
      <c r="A42" s="239" t="s">
        <v>250</v>
      </c>
      <c r="B42" s="240"/>
      <c r="C42" s="240"/>
      <c r="D42" s="240"/>
      <c r="E42" s="240"/>
      <c r="F42" s="240"/>
      <c r="G42" s="240"/>
      <c r="H42" s="240"/>
      <c r="I42" s="240"/>
      <c r="J42" s="240"/>
      <c r="K42" s="240"/>
      <c r="L42" s="240"/>
      <c r="M42" s="240"/>
      <c r="N42" s="240"/>
      <c r="O42" s="241"/>
      <c r="P42" s="240"/>
      <c r="Q42" s="240"/>
      <c r="R42" s="240"/>
      <c r="S42" s="240"/>
      <c r="T42" s="240"/>
      <c r="U42" s="240"/>
      <c r="V42" s="240"/>
      <c r="W42" s="240"/>
      <c r="X42" s="241"/>
    </row>
    <row r="43" spans="1:24" x14ac:dyDescent="0.25">
      <c r="A43" s="157">
        <v>1</v>
      </c>
      <c r="B43" s="31" t="s">
        <v>354</v>
      </c>
      <c r="C43" s="31"/>
      <c r="D43" s="31"/>
      <c r="E43" s="31"/>
      <c r="F43" s="31"/>
      <c r="G43" s="31"/>
      <c r="H43" s="31"/>
      <c r="I43" s="31"/>
      <c r="J43" s="31"/>
      <c r="K43" s="31"/>
      <c r="L43" s="31"/>
      <c r="M43" s="31"/>
      <c r="N43" s="31"/>
      <c r="O43" s="242"/>
      <c r="P43" s="31"/>
      <c r="Q43" s="31"/>
      <c r="R43" s="31"/>
      <c r="S43" s="31"/>
      <c r="T43" s="31"/>
      <c r="U43" s="31"/>
      <c r="V43" s="31"/>
      <c r="W43" s="31"/>
      <c r="X43" s="242"/>
    </row>
    <row r="44" spans="1:24" x14ac:dyDescent="0.25">
      <c r="A44" s="163">
        <v>2</v>
      </c>
      <c r="B44" s="243" t="s">
        <v>251</v>
      </c>
      <c r="C44" s="243"/>
      <c r="D44" s="243"/>
      <c r="E44" s="243"/>
      <c r="F44" s="243"/>
      <c r="G44" s="243"/>
      <c r="H44" s="243"/>
      <c r="I44" s="243"/>
      <c r="J44" s="243"/>
      <c r="K44" s="243"/>
      <c r="L44" s="243"/>
      <c r="M44" s="243"/>
      <c r="N44" s="243"/>
      <c r="O44" s="244"/>
      <c r="P44" s="243"/>
      <c r="Q44" s="243"/>
      <c r="R44" s="243"/>
      <c r="S44" s="243"/>
      <c r="T44" s="243"/>
      <c r="U44" s="243"/>
      <c r="V44" s="243"/>
      <c r="W44" s="243"/>
      <c r="X44" s="244"/>
    </row>
  </sheetData>
  <sheetProtection algorithmName="SHA-512" hashValue="b2+V1epq9+ccpk/qj8RHZOVdc2F4X0vXhQzZinc2DeJufNCIDgT1T3ITSdnSO0wW+jcRqxr2KXHk9a6llWwxTA==" saltValue="GNJVbmjX0kC/Q1bjRQhXzg==" spinCount="100000" sheet="1" objects="1" scenarios="1"/>
  <conditionalFormatting sqref="G12:W12 K22:W23 F23:I23 F13:W13 D7:E7 F7:W8 F17:W18 D17:E17 D22:F22 D27:W27">
    <cfRule type="cellIs" dxfId="21" priority="14" stopIfTrue="1" operator="greaterThan">
      <formula>0</formula>
    </cfRule>
  </conditionalFormatting>
  <conditionalFormatting sqref="G22:J22">
    <cfRule type="cellIs" dxfId="20" priority="13" stopIfTrue="1" operator="greaterThan">
      <formula>0</formula>
    </cfRule>
  </conditionalFormatting>
  <conditionalFormatting sqref="D12:F12">
    <cfRule type="cellIs" dxfId="19" priority="12" stopIfTrue="1" operator="greaterThan">
      <formula>0</formula>
    </cfRule>
  </conditionalFormatting>
  <conditionalFormatting sqref="D4:W5">
    <cfRule type="cellIs" dxfId="18" priority="9" stopIfTrue="1" operator="greaterThan">
      <formula>0</formula>
    </cfRule>
  </conditionalFormatting>
  <conditionalFormatting sqref="E13 E8 E18 E23">
    <cfRule type="cellIs" dxfId="17" priority="11" stopIfTrue="1" operator="greaterThan">
      <formula>0</formula>
    </cfRule>
  </conditionalFormatting>
  <conditionalFormatting sqref="D15:W16">
    <cfRule type="cellIs" dxfId="16" priority="7" stopIfTrue="1" operator="greaterThan">
      <formula>0</formula>
    </cfRule>
  </conditionalFormatting>
  <conditionalFormatting sqref="D13 D8 D18 D23:D26 E24:W26 D10:W11 D6:W6">
    <cfRule type="cellIs" dxfId="15" priority="10" stopIfTrue="1" operator="greaterThan">
      <formula>0</formula>
    </cfRule>
  </conditionalFormatting>
  <conditionalFormatting sqref="D20:W21">
    <cfRule type="cellIs" dxfId="14" priority="5" stopIfTrue="1" operator="greaterThan">
      <formula>0</formula>
    </cfRule>
  </conditionalFormatting>
  <conditionalFormatting sqref="D9:W9">
    <cfRule type="cellIs" dxfId="13" priority="3" stopIfTrue="1" operator="greaterThan">
      <formula>0</formula>
    </cfRule>
  </conditionalFormatting>
  <conditionalFormatting sqref="D14:W14">
    <cfRule type="cellIs" dxfId="12" priority="2" stopIfTrue="1" operator="greaterThan">
      <formula>0</formula>
    </cfRule>
  </conditionalFormatting>
  <conditionalFormatting sqref="D19:W19">
    <cfRule type="cellIs" dxfId="11" priority="1" stopIfTrue="1" operator="greaterThan">
      <formula>0</formula>
    </cfRule>
  </conditionalFormatting>
  <pageMargins left="0.5" right="0.5" top="1" bottom="1" header="0.5" footer="0.5"/>
  <pageSetup paperSize="3" orientation="landscape" r:id="rId1"/>
  <headerFooter alignWithMargins="0">
    <oddHeader>&amp;L&amp;"Arial,Bold"WILLAMETTE RIVER WATER TREATMENT PLANT - 2017 MASTER PLAN UPDATE
CAPITAL IMPROVEMENT PLAN UPDATE</oddHeader>
    <oddFooter>&amp;L&amp;"Arial,Regular"&amp;8WRWTP - 2017 MPU CIP Workbook&amp;C&amp;"Arial,Regular"&amp;8&amp;A Sheet&amp;R&amp;"Arial,Regular"&amp;8Page &amp;P of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X44"/>
  <sheetViews>
    <sheetView zoomScaleNormal="100" zoomScaleSheetLayoutView="100" workbookViewId="0">
      <selection activeCell="S37" sqref="S37"/>
    </sheetView>
  </sheetViews>
  <sheetFormatPr defaultColWidth="9.109375" defaultRowHeight="13.2" x14ac:dyDescent="0.25"/>
  <cols>
    <col min="1" max="1" width="4" style="17" customWidth="1"/>
    <col min="2" max="2" width="27" style="17" customWidth="1"/>
    <col min="3" max="3" width="6.5546875" style="17" customWidth="1"/>
    <col min="4" max="6" width="15.44140625" style="17" bestFit="1" customWidth="1"/>
    <col min="7" max="7" width="14.33203125" style="17" customWidth="1"/>
    <col min="8" max="9" width="12.6640625" style="17" bestFit="1" customWidth="1"/>
    <col min="10" max="13" width="11.6640625" style="17" bestFit="1" customWidth="1"/>
    <col min="14" max="14" width="15.109375" style="17" customWidth="1"/>
    <col min="15" max="17" width="11.6640625" style="17" bestFit="1" customWidth="1"/>
    <col min="18" max="19" width="12.6640625" style="17" bestFit="1" customWidth="1"/>
    <col min="20" max="20" width="13.109375" style="17" bestFit="1" customWidth="1"/>
    <col min="21" max="22" width="12.6640625" style="17" bestFit="1" customWidth="1"/>
    <col min="23" max="23" width="11.6640625" style="17" bestFit="1" customWidth="1"/>
    <col min="24" max="24" width="15.6640625" style="17" customWidth="1"/>
    <col min="25" max="16384" width="9.109375" style="17"/>
  </cols>
  <sheetData>
    <row r="1" spans="1:24" ht="16.95" customHeight="1" x14ac:dyDescent="0.25">
      <c r="A1" s="306" t="s">
        <v>353</v>
      </c>
      <c r="B1" s="307"/>
      <c r="C1" s="307"/>
      <c r="D1" s="307"/>
      <c r="E1" s="346"/>
      <c r="F1" s="347"/>
      <c r="G1" s="307"/>
      <c r="H1" s="307"/>
      <c r="I1" s="307"/>
      <c r="J1" s="307"/>
      <c r="K1" s="307"/>
      <c r="L1" s="307"/>
      <c r="M1" s="307"/>
      <c r="N1" s="307"/>
      <c r="O1" s="308"/>
      <c r="P1" s="307"/>
      <c r="Q1" s="307"/>
      <c r="R1" s="307"/>
      <c r="S1" s="307"/>
      <c r="T1" s="307"/>
      <c r="U1" s="307"/>
      <c r="V1" s="307"/>
      <c r="W1" s="307"/>
      <c r="X1" s="308"/>
    </row>
    <row r="2" spans="1:24" x14ac:dyDescent="0.25">
      <c r="A2" s="24" t="s">
        <v>7</v>
      </c>
      <c r="B2" s="30"/>
      <c r="C2" s="238" t="s">
        <v>6</v>
      </c>
      <c r="D2" s="136">
        <v>2017</v>
      </c>
      <c r="E2" s="136">
        <v>2018</v>
      </c>
      <c r="F2" s="136">
        <v>2019</v>
      </c>
      <c r="G2" s="136">
        <v>2020</v>
      </c>
      <c r="H2" s="136">
        <v>2021</v>
      </c>
      <c r="I2" s="136">
        <v>2022</v>
      </c>
      <c r="J2" s="136">
        <v>2023</v>
      </c>
      <c r="K2" s="136">
        <v>2024</v>
      </c>
      <c r="L2" s="136">
        <v>2025</v>
      </c>
      <c r="M2" s="136">
        <v>2026</v>
      </c>
      <c r="N2" s="136">
        <v>2027</v>
      </c>
      <c r="O2" s="401">
        <v>2028</v>
      </c>
      <c r="P2" s="136">
        <v>2029</v>
      </c>
      <c r="Q2" s="136">
        <v>2030</v>
      </c>
      <c r="R2" s="136">
        <v>2031</v>
      </c>
      <c r="S2" s="136">
        <v>2032</v>
      </c>
      <c r="T2" s="136">
        <v>2033</v>
      </c>
      <c r="U2" s="136">
        <v>2034</v>
      </c>
      <c r="V2" s="136">
        <v>2035</v>
      </c>
      <c r="W2" s="136">
        <v>2036</v>
      </c>
      <c r="X2" s="148" t="s">
        <v>178</v>
      </c>
    </row>
    <row r="3" spans="1:24" ht="13.8" x14ac:dyDescent="0.3">
      <c r="A3" s="32" t="s">
        <v>218</v>
      </c>
      <c r="B3" s="31"/>
      <c r="C3" s="35"/>
      <c r="G3" s="36"/>
      <c r="H3" s="36"/>
      <c r="I3" s="36"/>
      <c r="J3" s="36"/>
      <c r="K3" s="36"/>
      <c r="L3" s="36"/>
      <c r="M3" s="36"/>
      <c r="N3" s="36"/>
      <c r="O3" s="402"/>
      <c r="P3" s="36"/>
      <c r="Q3" s="36"/>
      <c r="R3" s="36"/>
      <c r="S3" s="36"/>
      <c r="T3" s="36"/>
      <c r="U3" s="36"/>
      <c r="V3" s="36"/>
      <c r="W3" s="36"/>
      <c r="X3" s="149"/>
    </row>
    <row r="4" spans="1:24" ht="13.8" x14ac:dyDescent="0.3">
      <c r="A4" s="32"/>
      <c r="B4" s="31" t="s">
        <v>273</v>
      </c>
      <c r="C4" s="33"/>
      <c r="D4" s="290">
        <f>IF(DD_20MGD/12&gt;1,IF(OR(D$2=Design_20MGD,AND(D$2&gt;Design_20MGD,D$2&lt;=Design_20MGD+DD_20MGD/12)),(SUMIF(Full_Project,'Financial Summary (Future)'!$A$3,Full_FutDes))/ROUNDUP(DD_20MGD/12,0),0),IF(D$2=Design_20MGD,SUMIF(Full_Project,'Financial Summary (Future)'!$A$3,Full_FutDes),0))</f>
        <v>0</v>
      </c>
      <c r="E4" s="290">
        <f>IF(DD_20MGD/12&gt;1,IF(OR(E$2=Design_20MGD,AND(E$2&gt;Design_20MGD,E$2&lt;=Design_20MGD+DD_20MGD/12)),(SUMIF(Full_Project,'Financial Summary (Future)'!$A$3,Full_FutDes))/ROUNDUP(DD_20MGD/12,0),0),IF(E$2=Design_20MGD,SUMIF(Full_Project,'Financial Summary (Future)'!$A$3,Full_FutDes),0))</f>
        <v>2124423.0550776222</v>
      </c>
      <c r="F4" s="290">
        <f>IF(DD_20MGD/12&gt;1,IF(OR(F$2=Design_20MGD,AND(F$2&gt;Design_20MGD,F$2&lt;=Design_20MGD+DD_20MGD/12)),(SUMIF(Full_Project,'Financial Summary (Future)'!$A$3,Full_FutDes))/ROUNDUP(DD_20MGD/12,0),0),IF(F$2=Design_20MGD,SUMIF(Full_Project,'Financial Summary (Future)'!$A$3,Full_FutDes),0))</f>
        <v>0</v>
      </c>
      <c r="G4" s="290">
        <f>IF(DD_20MGD/12&gt;1,IF(OR(G$2=Design_20MGD,AND(G$2&gt;Design_20MGD,G$2&lt;=Design_20MGD+DD_20MGD/12)),(SUMIF(Full_Project,'Financial Summary (Future)'!$A$3,Full_FutDes))/ROUNDUP(DD_20MGD/12,0),0),IF(G$2=Design_20MGD,SUMIF(Full_Project,'Financial Summary (Future)'!$A$3,Full_FutDes),0))</f>
        <v>0</v>
      </c>
      <c r="H4" s="290">
        <f>IF(DD_20MGD/12&gt;1,IF(OR(H$2=Design_20MGD,AND(H$2&gt;Design_20MGD,H$2&lt;=Design_20MGD+DD_20MGD/12)),(SUMIF(Full_Project,'Financial Summary (Future)'!$A$3,Full_FutDes))/ROUNDUP(DD_20MGD/12,0),0),IF(H$2=Design_20MGD,SUMIF(Full_Project,'Financial Summary (Future)'!$A$3,Full_FutDes),0))</f>
        <v>0</v>
      </c>
      <c r="I4" s="290">
        <f>IF(DD_20MGD/12&gt;1,IF(OR(I$2=Design_20MGD,AND(I$2&gt;Design_20MGD,I$2&lt;=Design_20MGD+DD_20MGD/12)),(SUMIF(Full_Project,'Financial Summary (Future)'!$A$3,Full_FutDes))/ROUNDUP(DD_20MGD/12,0),0),IF(I$2=Design_20MGD,SUMIF(Full_Project,'Financial Summary (Future)'!$A$3,Full_FutDes),0))</f>
        <v>0</v>
      </c>
      <c r="J4" s="290">
        <f>IF(DD_20MGD/12&gt;1,IF(OR(J$2=Design_20MGD,AND(J$2&gt;Design_20MGD,J$2&lt;=Design_20MGD+DD_20MGD/12)),(SUMIF(Full_Project,'Financial Summary (Future)'!$A$3,Full_FutDes))/ROUNDUP(DD_20MGD/12,0),0),IF(J$2=Design_20MGD,SUMIF(Full_Project,'Financial Summary (Future)'!$A$3,Full_FutDes),0))</f>
        <v>0</v>
      </c>
      <c r="K4" s="290">
        <f>IF(DD_20MGD/12&gt;1,IF(OR(K$2=Design_20MGD,AND(K$2&gt;Design_20MGD,K$2&lt;=Design_20MGD+DD_20MGD/12)),(SUMIF(Full_Project,'Financial Summary (Future)'!$A$3,Full_FutDes))/ROUNDUP(DD_20MGD/12,0),0),IF(K$2=Design_20MGD,SUMIF(Full_Project,'Financial Summary (Future)'!$A$3,Full_FutDes),0))</f>
        <v>0</v>
      </c>
      <c r="L4" s="290">
        <f>IF(DD_20MGD/12&gt;1,IF(OR(L$2=Design_20MGD,AND(L$2&gt;Design_20MGD,L$2&lt;=Design_20MGD+DD_20MGD/12)),(SUMIF(Full_Project,'Financial Summary (Future)'!$A$3,Full_FutDes))/ROUNDUP(DD_20MGD/12,0),0),IF(L$2=Design_20MGD,SUMIF(Full_Project,'Financial Summary (Future)'!$A$3,Full_FutDes),0))</f>
        <v>0</v>
      </c>
      <c r="M4" s="290">
        <f>IF(DD_20MGD/12&gt;1,IF(OR(M$2=Design_20MGD,AND(M$2&gt;Design_20MGD,M$2&lt;=Design_20MGD+DD_20MGD/12)),(SUMIF(Full_Project,'Financial Summary (Future)'!$A$3,Full_FutDes))/ROUNDUP(DD_20MGD/12,0),0),IF(M$2=Design_20MGD,SUMIF(Full_Project,'Financial Summary (Future)'!$A$3,Full_FutDes),0))</f>
        <v>0</v>
      </c>
      <c r="N4" s="290">
        <f>IF(DD_20MGD/12&gt;1,IF(OR(N$2=Design_20MGD,AND(N$2&gt;Design_20MGD,N$2&lt;=Design_20MGD+DD_20MGD/12)),(SUMIF(Full_Project,'Financial Summary (Future)'!$A$3,Full_FutDes))/ROUNDUP(DD_20MGD/12,0),0),IF(N$2=Design_20MGD,SUMIF(Full_Project,'Financial Summary (Future)'!$A$3,Full_FutDes),0))</f>
        <v>0</v>
      </c>
      <c r="O4" s="403">
        <f>IF(DD_20MGD/12&gt;1,IF(OR(O$2=Design_20MGD,AND(O$2&gt;Design_20MGD,O$2&lt;=Design_20MGD+DD_20MGD/12)),(SUMIF(Full_Project,'Financial Summary (Future)'!$A$3,Full_FutDes))/ROUNDUP(DD_20MGD/12,0),0),IF(O$2=Design_20MGD,SUMIF(Full_Project,'Financial Summary (Future)'!$A$3,Full_FutDes),0))</f>
        <v>0</v>
      </c>
      <c r="P4" s="290">
        <f>IF(DD_20MGD/12&gt;1,IF(OR(P$2=Design_20MGD,AND(P$2&gt;Design_20MGD,P$2&lt;=Design_20MGD+DD_20MGD/12)),(SUMIF(Full_Project,'Financial Summary (Future)'!$A$3,Full_FutDes))/ROUNDUP(DD_20MGD/12,0),0),IF(P$2=Design_20MGD,SUMIF(Full_Project,'Financial Summary (Future)'!$A$3,Full_FutDes),0))</f>
        <v>0</v>
      </c>
      <c r="Q4" s="290">
        <f>IF(DD_20MGD/12&gt;1,IF(OR(Q$2=Design_20MGD,AND(Q$2&gt;Design_20MGD,Q$2&lt;=Design_20MGD+DD_20MGD/12)),(SUMIF(Full_Project,'Financial Summary (Future)'!$A$3,Full_FutDes))/ROUNDUP(DD_20MGD/12,0),0),IF(Q$2=Design_20MGD,SUMIF(Full_Project,'Financial Summary (Future)'!$A$3,Full_FutDes),0))</f>
        <v>0</v>
      </c>
      <c r="R4" s="290">
        <f>IF(DD_20MGD/12&gt;1,IF(OR(R$2=Design_20MGD,AND(R$2&gt;Design_20MGD,R$2&lt;=Design_20MGD+DD_20MGD/12)),(SUMIF(Full_Project,'Financial Summary (Future)'!$A$3,Full_FutDes))/ROUNDUP(DD_20MGD/12,0),0),IF(R$2=Design_20MGD,SUMIF(Full_Project,'Financial Summary (Future)'!$A$3,Full_FutDes),0))</f>
        <v>0</v>
      </c>
      <c r="S4" s="290">
        <f>IF(DD_20MGD/12&gt;1,IF(OR(S$2=Design_20MGD,AND(S$2&gt;Design_20MGD,S$2&lt;=Design_20MGD+DD_20MGD/12)),(SUMIF(Full_Project,'Financial Summary (Future)'!$A$3,Full_FutDes))/ROUNDUP(DD_20MGD/12,0),0),IF(S$2=Design_20MGD,SUMIF(Full_Project,'Financial Summary (Future)'!$A$3,Full_FutDes),0))</f>
        <v>0</v>
      </c>
      <c r="T4" s="290">
        <f>IF(DD_20MGD/12&gt;1,IF(OR(T$2=Design_20MGD,AND(T$2&gt;Design_20MGD,T$2&lt;=Design_20MGD+DD_20MGD/12)),(SUMIF(Full_Project,'Financial Summary (Future)'!$A$3,Full_FutDes))/ROUNDUP(DD_20MGD/12,0),0),IF(T$2=Design_20MGD,SUMIF(Full_Project,'Financial Summary (Future)'!$A$3,Full_FutDes),0))</f>
        <v>0</v>
      </c>
      <c r="U4" s="290">
        <f>IF(DD_20MGD/12&gt;1,IF(OR(U$2=Design_20MGD,AND(U$2&gt;Design_20MGD,U$2&lt;=Design_20MGD+DD_20MGD/12)),(SUMIF(Full_Project,'Financial Summary (Future)'!$A$3,Full_FutDes))/ROUNDUP(DD_20MGD/12,0),0),IF(U$2=Design_20MGD,SUMIF(Full_Project,'Financial Summary (Future)'!$A$3,Full_FutDes),0))</f>
        <v>0</v>
      </c>
      <c r="V4" s="290">
        <f>IF(DD_20MGD/12&gt;1,IF(OR(V$2=Design_20MGD,AND(V$2&gt;Design_20MGD,V$2&lt;=Design_20MGD+DD_20MGD/12)),(SUMIF(Full_Project,'Financial Summary (Future)'!$A$3,Full_FutDes))/ROUNDUP(DD_20MGD/12,0),0),IF(V$2=Design_20MGD,SUMIF(Full_Project,'Financial Summary (Future)'!$A$3,Full_FutDes),0))</f>
        <v>0</v>
      </c>
      <c r="W4" s="290">
        <f>IF(DD_20MGD/12&gt;1,IF(OR(W$2=Design_20MGD,AND(W$2&gt;Design_20MGD,W$2&lt;=Design_20MGD+DD_20MGD/12)),(SUMIF(Full_Project,'Financial Summary (Future)'!$A$3,Full_FutDes))/ROUNDUP(DD_20MGD/12,0),0),IF(W$2=Design_20MGD,SUMIF(Full_Project,'Financial Summary (Future)'!$A$3,Full_FutDes),0))</f>
        <v>0</v>
      </c>
      <c r="X4" s="291">
        <f>SUM(D4:W4)</f>
        <v>2124423.0550776222</v>
      </c>
    </row>
    <row r="5" spans="1:24" ht="13.8" x14ac:dyDescent="0.3">
      <c r="A5" s="32"/>
      <c r="B5" s="31" t="s">
        <v>272</v>
      </c>
      <c r="C5" s="33"/>
      <c r="D5" s="290">
        <f t="shared" ref="D5:W5" si="0">IF(OR(D$2=Design_20MGD,AND(D$2&gt;Design_20MGD,D$2&lt;Complete_20MGD)),SUMIF(Full_Project,$A$3,Full_FutAd)/(Duration_20MGD),0)</f>
        <v>0</v>
      </c>
      <c r="E5" s="290">
        <f t="shared" si="0"/>
        <v>472094.01223947183</v>
      </c>
      <c r="F5" s="290">
        <f t="shared" si="0"/>
        <v>472094.01223947183</v>
      </c>
      <c r="G5" s="290">
        <f t="shared" si="0"/>
        <v>472094.01223947183</v>
      </c>
      <c r="H5" s="290">
        <f t="shared" si="0"/>
        <v>0</v>
      </c>
      <c r="I5" s="290">
        <f t="shared" si="0"/>
        <v>0</v>
      </c>
      <c r="J5" s="290">
        <f t="shared" si="0"/>
        <v>0</v>
      </c>
      <c r="K5" s="290">
        <f t="shared" si="0"/>
        <v>0</v>
      </c>
      <c r="L5" s="290">
        <f t="shared" si="0"/>
        <v>0</v>
      </c>
      <c r="M5" s="290">
        <f t="shared" si="0"/>
        <v>0</v>
      </c>
      <c r="N5" s="290">
        <f t="shared" si="0"/>
        <v>0</v>
      </c>
      <c r="O5" s="403">
        <f t="shared" si="0"/>
        <v>0</v>
      </c>
      <c r="P5" s="290">
        <f t="shared" si="0"/>
        <v>0</v>
      </c>
      <c r="Q5" s="290">
        <f t="shared" si="0"/>
        <v>0</v>
      </c>
      <c r="R5" s="290">
        <f t="shared" si="0"/>
        <v>0</v>
      </c>
      <c r="S5" s="290">
        <f t="shared" si="0"/>
        <v>0</v>
      </c>
      <c r="T5" s="290">
        <f t="shared" si="0"/>
        <v>0</v>
      </c>
      <c r="U5" s="290">
        <f t="shared" si="0"/>
        <v>0</v>
      </c>
      <c r="V5" s="290">
        <f t="shared" si="0"/>
        <v>0</v>
      </c>
      <c r="W5" s="290">
        <f t="shared" si="0"/>
        <v>0</v>
      </c>
      <c r="X5" s="291">
        <f t="shared" ref="X5:X7" si="1">SUM(D5:W5)</f>
        <v>1416282.0367184156</v>
      </c>
    </row>
    <row r="6" spans="1:24" ht="13.8" x14ac:dyDescent="0.3">
      <c r="A6" s="32"/>
      <c r="B6" s="31" t="s">
        <v>5</v>
      </c>
      <c r="C6" s="33"/>
      <c r="D6" s="290">
        <f>IF(CD_20MGD/12&gt;1,IF(OR(D$2=Constr_20MGD,AND(D$2&gt;Constr_20MGD,D$2&lt;=Constr_20MGD+CD_20MGD/12)),(SUMIF(Full_Project,'Financial Summary (Future)'!$A$3,Full_Future)-$X4-$X5)/ROUNDUP((CD_20MGD+F_20MGD)/12,0),0),IF(D$2=Constr_20MGD,SUMIF(Full_Project,'Financial Summary (Future)'!$A$3,Full_Future)-$X4-$X5,0))</f>
        <v>0</v>
      </c>
      <c r="E6" s="290">
        <f>IF(CD_20MGD/12&gt;1,IF(OR(E$2=Constr_20MGD,AND(E$2&gt;Constr_20MGD,E$2&lt;=Constr_20MGD+CD_20MGD/12)),(SUMIF(Full_Project,'Financial Summary (Future)'!$A$3,Full_Future)-$X4-$X5)/ROUNDUP((CD_20MGD+F_20MGD)/12,0),0),IF(E$2=Constr_20MGD,SUMIF(Full_Project,'Financial Summary (Future)'!$A$3,Full_Future)-$X4-$X5,0))</f>
        <v>0</v>
      </c>
      <c r="F6" s="290">
        <f>IF(CD_20MGD/12&gt;1,IF(OR(F$2=Constr_20MGD,AND(F$2&gt;Constr_20MGD,F$2&lt;=Constr_20MGD+CD_20MGD/12)),(SUMIF(Full_Project,'Financial Summary (Future)'!$A$3,Full_Future)-$X4-$X5)/ROUNDUP((CD_20MGD+F_20MGD)/12,0),0),IF(F$2=Constr_20MGD,SUMIF(Full_Project,'Financial Summary (Future)'!$A$3,Full_Future)-$X4-$X5,0))</f>
        <v>7081410.1835920773</v>
      </c>
      <c r="G6" s="290">
        <f>IF(CD_20MGD/12&gt;1,IF(OR(G$2=Constr_20MGD,AND(G$2&gt;Constr_20MGD,G$2&lt;=Constr_20MGD+CD_20MGD/12)),(SUMIF(Full_Project,'Financial Summary (Future)'!$A$3,Full_Future)-$X4-$X5)/ROUNDUP((CD_20MGD+F_20MGD)/12,0),0),IF(G$2=Constr_20MGD,SUMIF(Full_Project,'Financial Summary (Future)'!$A$3,Full_Future)-$X4-$X5,0))</f>
        <v>7081410.1835920773</v>
      </c>
      <c r="H6" s="290">
        <f>IF(CD_20MGD/12&gt;1,IF(OR(H$2=Constr_20MGD,AND(H$2&gt;Constr_20MGD,H$2&lt;=Constr_20MGD+CD_20MGD/12)),(SUMIF(Full_Project,'Financial Summary (Future)'!$A$3,Full_Future)-$X4-$X5)/ROUNDUP((CD_20MGD+F_20MGD)/12,0),0),IF(H$2=Constr_20MGD,SUMIF(Full_Project,'Financial Summary (Future)'!$A$3,Full_Future)-$X4-$X5,0))</f>
        <v>0</v>
      </c>
      <c r="I6" s="290">
        <f>IF(CD_20MGD/12&gt;1,IF(OR(I$2=Constr_20MGD,AND(I$2&gt;Constr_20MGD,I$2&lt;=Constr_20MGD+CD_20MGD/12)),(SUMIF(Full_Project,'Financial Summary (Future)'!$A$3,Full_Future)-$X4-$X5)/ROUNDUP((CD_20MGD+F_20MGD)/12,0),0),IF(I$2=Constr_20MGD,SUMIF(Full_Project,'Financial Summary (Future)'!$A$3,Full_Future)-$X4-$X5,0))</f>
        <v>0</v>
      </c>
      <c r="J6" s="290">
        <f>IF(CD_20MGD/12&gt;1,IF(OR(J$2=Constr_20MGD,AND(J$2&gt;Constr_20MGD,J$2&lt;=Constr_20MGD+CD_20MGD/12)),(SUMIF(Full_Project,'Financial Summary (Future)'!$A$3,Full_Future)-$X4-$X5)/ROUNDUP((CD_20MGD+F_20MGD)/12,0),0),IF(J$2=Constr_20MGD,SUMIF(Full_Project,'Financial Summary (Future)'!$A$3,Full_Future)-$X4-$X5,0))</f>
        <v>0</v>
      </c>
      <c r="K6" s="290">
        <f>IF(CD_20MGD/12&gt;1,IF(OR(K$2=Constr_20MGD,AND(K$2&gt;Constr_20MGD,K$2&lt;=Constr_20MGD+CD_20MGD/12)),(SUMIF(Full_Project,'Financial Summary (Future)'!$A$3,Full_Future)-$X4-$X5)/ROUNDUP((CD_20MGD+F_20MGD)/12,0),0),IF(K$2=Constr_20MGD,SUMIF(Full_Project,'Financial Summary (Future)'!$A$3,Full_Future)-$X4-$X5,0))</f>
        <v>0</v>
      </c>
      <c r="L6" s="290">
        <f>IF(CD_20MGD/12&gt;1,IF(OR(L$2=Constr_20MGD,AND(L$2&gt;Constr_20MGD,L$2&lt;=Constr_20MGD+CD_20MGD/12)),(SUMIF(Full_Project,'Financial Summary (Future)'!$A$3,Full_Future)-$X4-$X5)/ROUNDUP((CD_20MGD+F_20MGD)/12,0),0),IF(L$2=Constr_20MGD,SUMIF(Full_Project,'Financial Summary (Future)'!$A$3,Full_Future)-$X4-$X5,0))</f>
        <v>0</v>
      </c>
      <c r="M6" s="290">
        <f>IF(CD_20MGD/12&gt;1,IF(OR(M$2=Constr_20MGD,AND(M$2&gt;Constr_20MGD,M$2&lt;=Constr_20MGD+CD_20MGD/12)),(SUMIF(Full_Project,'Financial Summary (Future)'!$A$3,Full_Future)-$X4-$X5)/ROUNDUP((CD_20MGD+F_20MGD)/12,0),0),IF(M$2=Constr_20MGD,SUMIF(Full_Project,'Financial Summary (Future)'!$A$3,Full_Future)-$X4-$X5,0))</f>
        <v>0</v>
      </c>
      <c r="N6" s="290">
        <f>IF(CD_20MGD/12&gt;1,IF(OR(N$2=Constr_20MGD,AND(N$2&gt;Constr_20MGD,N$2&lt;=Constr_20MGD+CD_20MGD/12)),(SUMIF(Full_Project,'Financial Summary (Future)'!$A$3,Full_Future)-$X4-$X5)/ROUNDUP((CD_20MGD+F_20MGD)/12,0),0),IF(N$2=Constr_20MGD,SUMIF(Full_Project,'Financial Summary (Future)'!$A$3,Full_Future)-$X4-$X5,0))</f>
        <v>0</v>
      </c>
      <c r="O6" s="290">
        <f>IF(CD_20MGD/12&gt;1,IF(OR(O$2=Constr_20MGD,AND(O$2&gt;Constr_20MGD,O$2&lt;=Constr_20MGD+CD_20MGD/12)),(SUMIF(Full_Project,'Financial Summary (Future)'!$A$3,Full_Future)-$X4-$X5)/ROUNDUP((CD_20MGD+F_20MGD)/12,0),0),IF(O$2=Constr_20MGD,SUMIF(Full_Project,'Financial Summary (Future)'!$A$3,Full_Future)-$X4-$X5,0))</f>
        <v>0</v>
      </c>
      <c r="P6" s="290">
        <f>IF(CD_20MGD/12&gt;1,IF(OR(P$2=Constr_20MGD,AND(P$2&gt;Constr_20MGD,P$2&lt;=Constr_20MGD+CD_20MGD/12)),(SUMIF(Full_Project,'Financial Summary (Future)'!$A$3,Full_Future)-$X4-$X5)/ROUNDUP((CD_20MGD+F_20MGD)/12,0),0),IF(P$2=Constr_20MGD,SUMIF(Full_Project,'Financial Summary (Future)'!$A$3,Full_Future)-$X4-$X5,0))</f>
        <v>0</v>
      </c>
      <c r="Q6" s="290">
        <f>IF(CD_20MGD/12&gt;1,IF(OR(Q$2=Constr_20MGD,AND(Q$2&gt;Constr_20MGD,Q$2&lt;=Constr_20MGD+CD_20MGD/12)),(SUMIF(Full_Project,'Financial Summary (Future)'!$A$3,Full_Future)-$X4-$X5)/ROUNDUP((CD_20MGD+F_20MGD)/12,0),0),IF(Q$2=Constr_20MGD,SUMIF(Full_Project,'Financial Summary (Future)'!$A$3,Full_Future)-$X4-$X5,0))</f>
        <v>0</v>
      </c>
      <c r="R6" s="290">
        <f>IF(CD_20MGD/12&gt;1,IF(OR(R$2=Constr_20MGD,AND(R$2&gt;Constr_20MGD,R$2&lt;=Constr_20MGD+CD_20MGD/12)),(SUMIF(Full_Project,'Financial Summary (Future)'!$A$3,Full_Future)-$X4-$X5)/ROUNDUP((CD_20MGD+F_20MGD)/12,0),0),IF(R$2=Constr_20MGD,SUMIF(Full_Project,'Financial Summary (Future)'!$A$3,Full_Future)-$X4-$X5,0))</f>
        <v>0</v>
      </c>
      <c r="S6" s="290">
        <f>IF(CD_20MGD/12&gt;1,IF(OR(S$2=Constr_20MGD,AND(S$2&gt;Constr_20MGD,S$2&lt;=Constr_20MGD+CD_20MGD/12)),(SUMIF(Full_Project,'Financial Summary (Future)'!$A$3,Full_Future)-$X4-$X5)/ROUNDUP((CD_20MGD+F_20MGD)/12,0),0),IF(S$2=Constr_20MGD,SUMIF(Full_Project,'Financial Summary (Future)'!$A$3,Full_Future)-$X4-$X5,0))</f>
        <v>0</v>
      </c>
      <c r="T6" s="290">
        <f>IF(CD_20MGD/12&gt;1,IF(OR(T$2=Constr_20MGD,AND(T$2&gt;Constr_20MGD,T$2&lt;=Constr_20MGD+CD_20MGD/12)),(SUMIF(Full_Project,'Financial Summary (Future)'!$A$3,Full_Future)-$X4-$X5)/ROUNDUP((CD_20MGD+F_20MGD)/12,0),0),IF(T$2=Constr_20MGD,SUMIF(Full_Project,'Financial Summary (Future)'!$A$3,Full_Future)-$X4-$X5,0))</f>
        <v>0</v>
      </c>
      <c r="U6" s="290">
        <f>IF(CD_20MGD/12&gt;1,IF(OR(U$2=Constr_20MGD,AND(U$2&gt;Constr_20MGD,U$2&lt;=Constr_20MGD+CD_20MGD/12)),(SUMIF(Full_Project,'Financial Summary (Future)'!$A$3,Full_Future)-$X4-$X5)/ROUNDUP((CD_20MGD+F_20MGD)/12,0),0),IF(U$2=Constr_20MGD,SUMIF(Full_Project,'Financial Summary (Future)'!$A$3,Full_Future)-$X4-$X5,0))</f>
        <v>0</v>
      </c>
      <c r="V6" s="290">
        <f>IF(CD_20MGD/12&gt;1,IF(OR(V$2=Constr_20MGD,AND(V$2&gt;Constr_20MGD,V$2&lt;=Constr_20MGD+CD_20MGD/12)),(SUMIF(Full_Project,'Financial Summary (Future)'!$A$3,Full_Future)-$X4-$X5)/ROUNDUP((CD_20MGD+F_20MGD)/12,0),0),IF(V$2=Constr_20MGD,SUMIF(Full_Project,'Financial Summary (Future)'!$A$3,Full_Future)-$X4-$X5,0))</f>
        <v>0</v>
      </c>
      <c r="W6" s="290">
        <f>IF(CD_20MGD/12&gt;1,IF(OR(W$2=Constr_20MGD,AND(W$2&gt;Constr_20MGD,W$2&lt;=Constr_20MGD+CD_20MGD/12)),(SUMIF(Full_Project,'Financial Summary (Future)'!$A$3,Full_Future)-$X4-$X5)/ROUNDUP((CD_20MGD+F_20MGD)/12,0),0),IF(W$2=Constr_20MGD,SUMIF(Full_Project,'Financial Summary (Future)'!$A$3,Full_Future)-$X4-$X5,0))</f>
        <v>0</v>
      </c>
      <c r="X6" s="291">
        <f t="shared" si="1"/>
        <v>14162820.367184155</v>
      </c>
    </row>
    <row r="7" spans="1:24" ht="13.8" x14ac:dyDescent="0.3">
      <c r="A7" s="32"/>
      <c r="B7" s="31" t="s">
        <v>4</v>
      </c>
      <c r="C7" s="33"/>
      <c r="D7" s="290">
        <f t="shared" ref="D7:E7" si="2">SUM(D4:D6)</f>
        <v>0</v>
      </c>
      <c r="E7" s="290">
        <f t="shared" si="2"/>
        <v>2596517.0673170942</v>
      </c>
      <c r="F7" s="290">
        <f>SUM(F4:F6)</f>
        <v>7553504.1958315494</v>
      </c>
      <c r="G7" s="290">
        <f t="shared" ref="G7:W7" si="3">SUM(G4:G6)</f>
        <v>7553504.1958315494</v>
      </c>
      <c r="H7" s="290">
        <f t="shared" si="3"/>
        <v>0</v>
      </c>
      <c r="I7" s="290">
        <f t="shared" si="3"/>
        <v>0</v>
      </c>
      <c r="J7" s="290">
        <f t="shared" si="3"/>
        <v>0</v>
      </c>
      <c r="K7" s="290">
        <f t="shared" si="3"/>
        <v>0</v>
      </c>
      <c r="L7" s="290">
        <f t="shared" si="3"/>
        <v>0</v>
      </c>
      <c r="M7" s="290">
        <f t="shared" si="3"/>
        <v>0</v>
      </c>
      <c r="N7" s="290">
        <f t="shared" si="3"/>
        <v>0</v>
      </c>
      <c r="O7" s="403">
        <f t="shared" si="3"/>
        <v>0</v>
      </c>
      <c r="P7" s="290">
        <f t="shared" si="3"/>
        <v>0</v>
      </c>
      <c r="Q7" s="290">
        <f t="shared" si="3"/>
        <v>0</v>
      </c>
      <c r="R7" s="290">
        <f t="shared" si="3"/>
        <v>0</v>
      </c>
      <c r="S7" s="290">
        <f t="shared" si="3"/>
        <v>0</v>
      </c>
      <c r="T7" s="290">
        <f t="shared" si="3"/>
        <v>0</v>
      </c>
      <c r="U7" s="290">
        <f t="shared" si="3"/>
        <v>0</v>
      </c>
      <c r="V7" s="290">
        <f t="shared" si="3"/>
        <v>0</v>
      </c>
      <c r="W7" s="290">
        <f t="shared" si="3"/>
        <v>0</v>
      </c>
      <c r="X7" s="291">
        <f t="shared" si="1"/>
        <v>17703525.458980191</v>
      </c>
    </row>
    <row r="8" spans="1:24" ht="13.8" x14ac:dyDescent="0.3">
      <c r="A8" s="32" t="s">
        <v>71</v>
      </c>
      <c r="B8" s="31"/>
      <c r="C8" s="33"/>
      <c r="D8" s="35"/>
      <c r="E8" s="35"/>
      <c r="F8" s="35"/>
      <c r="G8" s="35"/>
      <c r="H8" s="35"/>
      <c r="I8" s="35"/>
      <c r="J8" s="35"/>
      <c r="K8" s="35"/>
      <c r="L8" s="35"/>
      <c r="M8" s="35"/>
      <c r="N8" s="35"/>
      <c r="O8" s="404"/>
      <c r="P8" s="35"/>
      <c r="Q8" s="35"/>
      <c r="R8" s="35"/>
      <c r="S8" s="35"/>
      <c r="T8" s="35"/>
      <c r="U8" s="35"/>
      <c r="V8" s="35"/>
      <c r="W8" s="35"/>
      <c r="X8" s="150"/>
    </row>
    <row r="9" spans="1:24" ht="13.8" x14ac:dyDescent="0.3">
      <c r="A9" s="32"/>
      <c r="B9" s="31" t="s">
        <v>273</v>
      </c>
      <c r="C9" s="33"/>
      <c r="D9" s="290">
        <f>IF(DD_Safety/12&gt;1,IF(OR(D$2=Design_Safety,AND(D$2&gt;Design_Safety,D$2&lt;=Design_Safety+DD_Safety/12)),(SUMIF(Full_Project,'Financial Summary (Future)'!$A$8,Full_FutDes))/ROUNDUP(DD_Safety/12,0),0),IF(D$2=Design_Safety,SUMIF(Full_Project,'Financial Summary (Future)'!$A$8,Full_FutDes),0))</f>
        <v>0</v>
      </c>
      <c r="E9" s="290">
        <f>IF(DD_Safety/12&gt;1,IF(OR(E$2=Design_Safety,AND(E$2&gt;Design_Safety,E$2&lt;=Design_Safety+DD_Safety/12)),(SUMIF(Full_Project,'Financial Summary (Future)'!$A$8,Full_FutDes))/ROUNDUP(DD_Safety/12,0),0),IF(E$2=Design_Safety,SUMIF(Full_Project,'Financial Summary (Future)'!$A$8,Full_FutDes),0))</f>
        <v>0</v>
      </c>
      <c r="F9" s="290">
        <f>IF(DD_Safety/12&gt;1,IF(OR(F$2=Design_Safety,AND(F$2&gt;Design_Safety,F$2&lt;=Design_Safety+DD_Safety/12)),(SUMIF(Full_Project,'Financial Summary (Future)'!$A$8,Full_FutDes))/ROUNDUP(DD_Safety/12,0),0),IF(F$2=Design_Safety,SUMIF(Full_Project,'Financial Summary (Future)'!$A$8,Full_FutDes),0))</f>
        <v>0</v>
      </c>
      <c r="G9" s="290">
        <f>IF(DD_Safety/12&gt;1,IF(OR(G$2=Design_Safety,AND(G$2&gt;Design_Safety,G$2&lt;=Design_Safety+DD_Safety/12)),(SUMIF(Full_Project,'Financial Summary (Future)'!$A$8,Full_FutDes))/ROUNDUP(DD_Safety/12,0),0),IF(G$2=Design_Safety,SUMIF(Full_Project,'Financial Summary (Future)'!$A$8,Full_FutDes),0))</f>
        <v>0</v>
      </c>
      <c r="H9" s="290">
        <f>IF(DD_Safety/12&gt;1,IF(OR(H$2=Design_Safety,AND(H$2&gt;Design_Safety,H$2&lt;=Design_Safety+DD_Safety/12)),(SUMIF(Full_Project,'Financial Summary (Future)'!$A$8,Full_FutDes))/ROUNDUP(DD_Safety/12,0),0),IF(H$2=Design_Safety,SUMIF(Full_Project,'Financial Summary (Future)'!$A$8,Full_FutDes),0))</f>
        <v>0</v>
      </c>
      <c r="I9" s="290">
        <f>IF(DD_Safety/12&gt;1,IF(OR(I$2=Design_Safety,AND(I$2&gt;Design_Safety,I$2&lt;=Design_Safety+DD_Safety/12)),(SUMIF(Full_Project,'Financial Summary (Future)'!$A$8,Full_FutDes))/ROUNDUP(DD_Safety/12,0),0),IF(I$2=Design_Safety,SUMIF(Full_Project,'Financial Summary (Future)'!$A$8,Full_FutDes),0))</f>
        <v>0</v>
      </c>
      <c r="J9" s="290">
        <f>IF(DD_Safety/12&gt;1,IF(OR(J$2=Design_Safety,AND(J$2&gt;Design_Safety,J$2&lt;=Design_Safety+DD_Safety/12)),(SUMIF(Full_Project,'Financial Summary (Future)'!$A$8,Full_FutDes))/ROUNDUP(DD_Safety/12,0),0),IF(J$2=Design_Safety,SUMIF(Full_Project,'Financial Summary (Future)'!$A$8,Full_FutDes),0))</f>
        <v>0</v>
      </c>
      <c r="K9" s="290">
        <f>IF(DD_Safety/12&gt;1,IF(OR(K$2=Design_Safety,AND(K$2&gt;Design_Safety,K$2&lt;=Design_Safety+DD_Safety/12)),(SUMIF(Full_Project,'Financial Summary (Future)'!$A$8,Full_FutDes))/ROUNDUP(DD_Safety/12,0),0),IF(K$2=Design_Safety,SUMIF(Full_Project,'Financial Summary (Future)'!$A$8,Full_FutDes),0))</f>
        <v>0</v>
      </c>
      <c r="L9" s="290">
        <f>IF(DD_Safety/12&gt;1,IF(OR(L$2=Design_Safety,AND(L$2&gt;Design_Safety,L$2&lt;=Design_Safety+DD_Safety/12)),(SUMIF(Full_Project,'Financial Summary (Future)'!$A$8,Full_FutDes))/ROUNDUP(DD_Safety/12,0),0),IF(L$2=Design_Safety,SUMIF(Full_Project,'Financial Summary (Future)'!$A$8,Full_FutDes),0))</f>
        <v>0</v>
      </c>
      <c r="M9" s="290">
        <f>IF(DD_Safety/12&gt;1,IF(OR(M$2=Design_Safety,AND(M$2&gt;Design_Safety,M$2&lt;=Design_Safety+DD_Safety/12)),(SUMIF(Full_Project,'Financial Summary (Future)'!$A$8,Full_FutDes))/ROUNDUP(DD_Safety/12,0),0),IF(M$2=Design_Safety,SUMIF(Full_Project,'Financial Summary (Future)'!$A$8,Full_FutDes),0))</f>
        <v>0</v>
      </c>
      <c r="N9" s="290">
        <f>IF(DD_Safety/12&gt;1,IF(OR(N$2=Design_Safety,AND(N$2&gt;Design_Safety,N$2&lt;=Design_Safety+DD_Safety/12)),(SUMIF(Full_Project,'Financial Summary (Future)'!$A$8,Full_FutDes))/ROUNDUP(DD_Safety/12,0),0),IF(N$2=Design_Safety,SUMIF(Full_Project,'Financial Summary (Future)'!$A$8,Full_FutDes),0))</f>
        <v>0</v>
      </c>
      <c r="O9" s="403">
        <f>IF(DD_Safety/12&gt;1,IF(OR(O$2=Design_Safety,AND(O$2&gt;Design_Safety,O$2&lt;=Design_Safety+DD_Safety/12)),(SUMIF(Full_Project,'Financial Summary (Future)'!$A$8,Full_FutDes))/ROUNDUP(DD_Safety/12,0),0),IF(O$2=Design_Safety,SUMIF(Full_Project,'Financial Summary (Future)'!$A$8,Full_FutDes),0))</f>
        <v>0</v>
      </c>
      <c r="P9" s="290">
        <f>IF(DD_Safety/12&gt;1,IF(OR(P$2=Design_Safety,AND(P$2&gt;Design_Safety,P$2&lt;=Design_Safety+DD_Safety/12)),(SUMIF(Full_Project,'Financial Summary (Future)'!$A$8,Full_FutDes))/ROUNDUP(DD_Safety/12,0),0),IF(P$2=Design_Safety,SUMIF(Full_Project,'Financial Summary (Future)'!$A$8,Full_FutDes),0))</f>
        <v>0</v>
      </c>
      <c r="Q9" s="290">
        <f>IF(DD_Safety/12&gt;1,IF(OR(Q$2=Design_Safety,AND(Q$2&gt;Design_Safety,Q$2&lt;=Design_Safety+DD_Safety/12)),(SUMIF(Full_Project,'Financial Summary (Future)'!$A$8,Full_FutDes))/ROUNDUP(DD_Safety/12,0),0),IF(Q$2=Design_Safety,SUMIF(Full_Project,'Financial Summary (Future)'!$A$8,Full_FutDes),0))</f>
        <v>0</v>
      </c>
      <c r="R9" s="290">
        <f>IF(DD_Safety/12&gt;1,IF(OR(R$2=Design_Safety,AND(R$2&gt;Design_Safety,R$2&lt;=Design_Safety+DD_Safety/12)),(SUMIF(Full_Project,'Financial Summary (Future)'!$A$8,Full_FutDes))/ROUNDUP(DD_Safety/12,0),0),IF(R$2=Design_Safety,SUMIF(Full_Project,'Financial Summary (Future)'!$A$8,Full_FutDes),0))</f>
        <v>0</v>
      </c>
      <c r="S9" s="290">
        <f>IF(DD_Safety/12&gt;1,IF(OR(S$2=Design_Safety,AND(S$2&gt;Design_Safety,S$2&lt;=Design_Safety+DD_Safety/12)),(SUMIF(Full_Project,'Financial Summary (Future)'!$A$8,Full_FutDes))/ROUNDUP(DD_Safety/12,0),0),IF(S$2=Design_Safety,SUMIF(Full_Project,'Financial Summary (Future)'!$A$8,Full_FutDes),0))</f>
        <v>0</v>
      </c>
      <c r="T9" s="290">
        <f>IF(DD_Safety/12&gt;1,IF(OR(T$2=Design_Safety,AND(T$2&gt;Design_Safety,T$2&lt;=Design_Safety+DD_Safety/12)),(SUMIF(Full_Project,'Financial Summary (Future)'!$A$8,Full_FutDes))/ROUNDUP(DD_Safety/12,0),0),IF(T$2=Design_Safety,SUMIF(Full_Project,'Financial Summary (Future)'!$A$8,Full_FutDes),0))</f>
        <v>0</v>
      </c>
      <c r="U9" s="290">
        <f>IF(DD_Safety/12&gt;1,IF(OR(U$2=Design_Safety,AND(U$2&gt;Design_Safety,U$2&lt;=Design_Safety+DD_Safety/12)),(SUMIF(Full_Project,'Financial Summary (Future)'!$A$8,Full_FutDes))/ROUNDUP(DD_Safety/12,0),0),IF(U$2=Design_Safety,SUMIF(Full_Project,'Financial Summary (Future)'!$A$8,Full_FutDes),0))</f>
        <v>0</v>
      </c>
      <c r="V9" s="290">
        <f>IF(DD_Safety/12&gt;1,IF(OR(V$2=Design_Safety,AND(V$2&gt;Design_Safety,V$2&lt;=Design_Safety+DD_Safety/12)),(SUMIF(Full_Project,'Financial Summary (Future)'!$A$8,Full_FutDes))/ROUNDUP(DD_Safety/12,0),0),IF(V$2=Design_Safety,SUMIF(Full_Project,'Financial Summary (Future)'!$A$8,Full_FutDes),0))</f>
        <v>0</v>
      </c>
      <c r="W9" s="290">
        <f>IF(DD_Safety/12&gt;1,IF(OR(W$2=Design_Safety,AND(W$2&gt;Design_Safety,W$2&lt;=Design_Safety+DD_Safety/12)),(SUMIF(Full_Project,'Financial Summary (Future)'!$A$8,Full_FutDes))/ROUNDUP(DD_Safety/12,0),0),IF(W$2=Design_Safety,SUMIF(Full_Project,'Financial Summary (Future)'!$A$8,Full_FutDes),0))</f>
        <v>0</v>
      </c>
      <c r="X9" s="150">
        <f>SUM(D9:W9)</f>
        <v>0</v>
      </c>
    </row>
    <row r="10" spans="1:24" ht="13.8" x14ac:dyDescent="0.3">
      <c r="A10" s="32"/>
      <c r="B10" s="31" t="s">
        <v>272</v>
      </c>
      <c r="C10" s="33"/>
      <c r="D10" s="35">
        <f t="shared" ref="D10:W10" si="4">IF(OR(D$2=Design_Safety,AND(D$2&gt;Design_Safety,D$2&lt;Complete_Safety)),SUMIF(Full_Project,$A$8,Full_FutAd)/(Duration_Safety),0)</f>
        <v>0</v>
      </c>
      <c r="E10" s="35">
        <f t="shared" si="4"/>
        <v>0</v>
      </c>
      <c r="F10" s="35">
        <f t="shared" si="4"/>
        <v>0</v>
      </c>
      <c r="G10" s="35">
        <f t="shared" si="4"/>
        <v>32467.73103521638</v>
      </c>
      <c r="H10" s="35">
        <f t="shared" si="4"/>
        <v>32467.73103521638</v>
      </c>
      <c r="I10" s="35">
        <f t="shared" si="4"/>
        <v>0</v>
      </c>
      <c r="J10" s="35">
        <f t="shared" si="4"/>
        <v>0</v>
      </c>
      <c r="K10" s="35">
        <f t="shared" si="4"/>
        <v>0</v>
      </c>
      <c r="L10" s="35">
        <f t="shared" si="4"/>
        <v>0</v>
      </c>
      <c r="M10" s="35">
        <f t="shared" si="4"/>
        <v>0</v>
      </c>
      <c r="N10" s="35">
        <f t="shared" si="4"/>
        <v>0</v>
      </c>
      <c r="O10" s="404">
        <f t="shared" si="4"/>
        <v>0</v>
      </c>
      <c r="P10" s="35">
        <f t="shared" si="4"/>
        <v>0</v>
      </c>
      <c r="Q10" s="35">
        <f t="shared" si="4"/>
        <v>0</v>
      </c>
      <c r="R10" s="35">
        <f t="shared" si="4"/>
        <v>0</v>
      </c>
      <c r="S10" s="35">
        <f t="shared" si="4"/>
        <v>0</v>
      </c>
      <c r="T10" s="35">
        <f t="shared" si="4"/>
        <v>0</v>
      </c>
      <c r="U10" s="35">
        <f t="shared" si="4"/>
        <v>0</v>
      </c>
      <c r="V10" s="35">
        <f t="shared" si="4"/>
        <v>0</v>
      </c>
      <c r="W10" s="35">
        <f t="shared" si="4"/>
        <v>0</v>
      </c>
      <c r="X10" s="150">
        <f t="shared" ref="X10:X12" si="5">SUM(D10:W10)</f>
        <v>64935.462070432761</v>
      </c>
    </row>
    <row r="11" spans="1:24" ht="13.8" x14ac:dyDescent="0.3">
      <c r="A11" s="32"/>
      <c r="B11" s="31" t="s">
        <v>5</v>
      </c>
      <c r="C11" s="33"/>
      <c r="D11" s="35">
        <f>IF(CD_Safety/12&gt;1,IF(OR(D$2=Constr_Safety,AND(D$2&gt;Constr_Safety,D$2&lt;=Constr_Safety+CD_Safety/12)),(SUMIF(Full_Project,'Financial Summary (Future)'!$A$8,Full_Future)-$X9-$X10)/ROUNDUP((CD_Safety+F_Safety)/12,0),0),IF(D$2=Constr_Safety,SUMIF(Full_Project,'Financial Summary (Future)'!$A$8,Full_Future)-$X9-$X10,0))</f>
        <v>0</v>
      </c>
      <c r="E11" s="35">
        <f>IF(CD_Safety/12&gt;1,IF(OR(E$2=Constr_Safety,AND(E$2&gt;Constr_Safety,E$2&lt;=Constr_Safety+CD_Safety/12)),(SUMIF(Full_Project,'Financial Summary (Future)'!$A$8,Full_Future)-$X9-$X10)/ROUNDUP((CD_Safety+F_Safety)/12,0),0),IF(E$2=Constr_Safety,SUMIF(Full_Project,'Financial Summary (Future)'!$A$8,Full_Future)-$X9-$X10,0))</f>
        <v>0</v>
      </c>
      <c r="F11" s="35">
        <f>IF(CD_Safety/12&gt;1,IF(OR(F$2=Constr_Safety,AND(F$2&gt;Constr_Safety,F$2&lt;=Constr_Safety+CD_Safety/12)),(SUMIF(Full_Project,'Financial Summary (Future)'!$A$8,Full_Future)-$X9-$X10)/ROUNDUP((CD_Safety+F_Safety)/12,0),0),IF(F$2=Constr_Safety,SUMIF(Full_Project,'Financial Summary (Future)'!$A$8,Full_Future)-$X9-$X10,0))</f>
        <v>0</v>
      </c>
      <c r="G11" s="35">
        <f>IF(CD_Safety/12&gt;1,IF(OR(G$2=Constr_Safety,AND(G$2&gt;Constr_Safety,G$2&lt;=Constr_Safety+CD_Safety/12)),(SUMIF(Full_Project,'Financial Summary (Future)'!$A$8,Full_Future)-$X9-$X10)/ROUNDUP((CD_Safety+F_Safety)/12,0),0),IF(G$2=Constr_Safety,SUMIF(Full_Project,'Financial Summary (Future)'!$A$8,Full_Future)-$X9-$X10,0))</f>
        <v>0</v>
      </c>
      <c r="H11" s="35">
        <f>IF(CD_Safety/12&gt;1,IF(OR(H$2=Constr_Safety,AND(H$2&gt;Constr_Safety,H$2&lt;=Constr_Safety+CD_Safety/12)),(SUMIF(Full_Project,'Financial Summary (Future)'!$A$8,Full_Future)-$X9-$X10)/ROUNDUP((CD_Safety+F_Safety)/12,0),0),IF(H$2=Constr_Safety,SUMIF(Full_Project,'Financial Summary (Future)'!$A$8,Full_Future)-$X9-$X10,0))</f>
        <v>649354.62070432783</v>
      </c>
      <c r="I11" s="35">
        <f>IF(CD_Safety/12&gt;1,IF(OR(I$2=Constr_Safety,AND(I$2&gt;Constr_Safety,I$2&lt;=Constr_Safety+CD_Safety/12)),(SUMIF(Full_Project,'Financial Summary (Future)'!$A$8,Full_Future)-$X9-$X10)/ROUNDUP((CD_Safety+F_Safety)/12,0),0),IF(I$2=Constr_Safety,SUMIF(Full_Project,'Financial Summary (Future)'!$A$8,Full_Future)-$X9-$X10,0))</f>
        <v>0</v>
      </c>
      <c r="J11" s="35">
        <f>IF(CD_Safety/12&gt;1,IF(OR(J$2=Constr_Safety,AND(J$2&gt;Constr_Safety,J$2&lt;=Constr_Safety+CD_Safety/12)),(SUMIF(Full_Project,'Financial Summary (Future)'!$A$8,Full_Future)-$X9-$X10)/ROUNDUP((CD_Safety+F_Safety)/12,0),0),IF(J$2=Constr_Safety,SUMIF(Full_Project,'Financial Summary (Future)'!$A$8,Full_Future)-$X9-$X10,0))</f>
        <v>0</v>
      </c>
      <c r="K11" s="35">
        <f>IF(CD_Safety/12&gt;1,IF(OR(K$2=Constr_Safety,AND(K$2&gt;Constr_Safety,K$2&lt;=Constr_Safety+CD_Safety/12)),(SUMIF(Full_Project,'Financial Summary (Future)'!$A$8,Full_Future)-$X9-$X10)/ROUNDUP((CD_Safety+F_Safety)/12,0),0),IF(K$2=Constr_Safety,SUMIF(Full_Project,'Financial Summary (Future)'!$A$8,Full_Future)-$X9-$X10,0))</f>
        <v>0</v>
      </c>
      <c r="L11" s="35">
        <f>IF(CD_Safety/12&gt;1,IF(OR(L$2=Constr_Safety,AND(L$2&gt;Constr_Safety,L$2&lt;=Constr_Safety+CD_Safety/12)),(SUMIF(Full_Project,'Financial Summary (Future)'!$A$8,Full_Future)-$X9-$X10)/ROUNDUP((CD_Safety+F_Safety)/12,0),0),IF(L$2=Constr_Safety,SUMIF(Full_Project,'Financial Summary (Future)'!$A$8,Full_Future)-$X9-$X10,0))</f>
        <v>0</v>
      </c>
      <c r="M11" s="35">
        <f>IF(CD_Safety/12&gt;1,IF(OR(M$2=Constr_Safety,AND(M$2&gt;Constr_Safety,M$2&lt;=Constr_Safety+CD_Safety/12)),(SUMIF(Full_Project,'Financial Summary (Future)'!$A$8,Full_Future)-$X9-$X10)/ROUNDUP((CD_Safety+F_Safety)/12,0),0),IF(M$2=Constr_Safety,SUMIF(Full_Project,'Financial Summary (Future)'!$A$8,Full_Future)-$X9-$X10,0))</f>
        <v>0</v>
      </c>
      <c r="N11" s="35">
        <f>IF(CD_Safety/12&gt;1,IF(OR(N$2=Constr_Safety,AND(N$2&gt;Constr_Safety,N$2&lt;=Constr_Safety+CD_Safety/12)),(SUMIF(Full_Project,'Financial Summary (Future)'!$A$8,Full_Future)-$X9-$X10)/ROUNDUP((CD_Safety+F_Safety)/12,0),0),IF(N$2=Constr_Safety,SUMIF(Full_Project,'Financial Summary (Future)'!$A$8,Full_Future)-$X9-$X10,0))</f>
        <v>0</v>
      </c>
      <c r="O11" s="35">
        <f>IF(CD_Safety/12&gt;1,IF(OR(O$2=Constr_Safety,AND(O$2&gt;Constr_Safety,O$2&lt;=Constr_Safety+CD_Safety/12)),(SUMIF(Full_Project,'Financial Summary (Future)'!$A$8,Full_Future)-$X9-$X10)/ROUNDUP((CD_Safety+F_Safety)/12,0),0),IF(O$2=Constr_Safety,SUMIF(Full_Project,'Financial Summary (Future)'!$A$8,Full_Future)-$X9-$X10,0))</f>
        <v>0</v>
      </c>
      <c r="P11" s="35">
        <f>IF(CD_Safety/12&gt;1,IF(OR(P$2=Constr_Safety,AND(P$2&gt;Constr_Safety,P$2&lt;=Constr_Safety+CD_Safety/12)),(SUMIF(Full_Project,'Financial Summary (Future)'!$A$8,Full_Future)-$X9-$X10)/ROUNDUP((CD_Safety+F_Safety)/12,0),0),IF(P$2=Constr_Safety,SUMIF(Full_Project,'Financial Summary (Future)'!$A$8,Full_Future)-$X9-$X10,0))</f>
        <v>0</v>
      </c>
      <c r="Q11" s="35">
        <f>IF(CD_Safety/12&gt;1,IF(OR(Q$2=Constr_Safety,AND(Q$2&gt;Constr_Safety,Q$2&lt;=Constr_Safety+CD_Safety/12)),(SUMIF(Full_Project,'Financial Summary (Future)'!$A$8,Full_Future)-$X9-$X10)/ROUNDUP((CD_Safety+F_Safety)/12,0),0),IF(Q$2=Constr_Safety,SUMIF(Full_Project,'Financial Summary (Future)'!$A$8,Full_Future)-$X9-$X10,0))</f>
        <v>0</v>
      </c>
      <c r="R11" s="35">
        <f>IF(CD_Safety/12&gt;1,IF(OR(R$2=Constr_Safety,AND(R$2&gt;Constr_Safety,R$2&lt;=Constr_Safety+CD_Safety/12)),(SUMIF(Full_Project,'Financial Summary (Future)'!$A$8,Full_Future)-$X9-$X10)/ROUNDUP((CD_Safety+F_Safety)/12,0),0),IF(R$2=Constr_Safety,SUMIF(Full_Project,'Financial Summary (Future)'!$A$8,Full_Future)-$X9-$X10,0))</f>
        <v>0</v>
      </c>
      <c r="S11" s="35">
        <f>IF(CD_Safety/12&gt;1,IF(OR(S$2=Constr_Safety,AND(S$2&gt;Constr_Safety,S$2&lt;=Constr_Safety+CD_Safety/12)),(SUMIF(Full_Project,'Financial Summary (Future)'!$A$8,Full_Future)-$X9-$X10)/ROUNDUP((CD_Safety+F_Safety)/12,0),0),IF(S$2=Constr_Safety,SUMIF(Full_Project,'Financial Summary (Future)'!$A$8,Full_Future)-$X9-$X10,0))</f>
        <v>0</v>
      </c>
      <c r="T11" s="35">
        <f>IF(CD_Safety/12&gt;1,IF(OR(T$2=Constr_Safety,AND(T$2&gt;Constr_Safety,T$2&lt;=Constr_Safety+CD_Safety/12)),(SUMIF(Full_Project,'Financial Summary (Future)'!$A$8,Full_Future)-$X9-$X10)/ROUNDUP((CD_Safety+F_Safety)/12,0),0),IF(T$2=Constr_Safety,SUMIF(Full_Project,'Financial Summary (Future)'!$A$8,Full_Future)-$X9-$X10,0))</f>
        <v>0</v>
      </c>
      <c r="U11" s="35">
        <f>IF(CD_Safety/12&gt;1,IF(OR(U$2=Constr_Safety,AND(U$2&gt;Constr_Safety,U$2&lt;=Constr_Safety+CD_Safety/12)),(SUMIF(Full_Project,'Financial Summary (Future)'!$A$8,Full_Future)-$X9-$X10)/ROUNDUP((CD_Safety+F_Safety)/12,0),0),IF(U$2=Constr_Safety,SUMIF(Full_Project,'Financial Summary (Future)'!$A$8,Full_Future)-$X9-$X10,0))</f>
        <v>0</v>
      </c>
      <c r="V11" s="35">
        <f>IF(CD_Safety/12&gt;1,IF(OR(V$2=Constr_Safety,AND(V$2&gt;Constr_Safety,V$2&lt;=Constr_Safety+CD_Safety/12)),(SUMIF(Full_Project,'Financial Summary (Future)'!$A$8,Full_Future)-$X9-$X10)/ROUNDUP((CD_Safety+F_Safety)/12,0),0),IF(V$2=Constr_Safety,SUMIF(Full_Project,'Financial Summary (Future)'!$A$8,Full_Future)-$X9-$X10,0))</f>
        <v>0</v>
      </c>
      <c r="W11" s="35">
        <f>IF(CD_Safety/12&gt;1,IF(OR(W$2=Constr_Safety,AND(W$2&gt;Constr_Safety,W$2&lt;=Constr_Safety+CD_Safety/12)),(SUMIF(Full_Project,'Financial Summary (Future)'!$A$8,Full_Future)-$X9-$X10)/ROUNDUP((CD_Safety+F_Safety)/12,0),0),IF(W$2=Constr_Safety,SUMIF(Full_Project,'Financial Summary (Future)'!$A$8,Full_Future)-$X9-$X10,0))</f>
        <v>0</v>
      </c>
      <c r="X11" s="150">
        <f t="shared" si="5"/>
        <v>649354.62070432783</v>
      </c>
    </row>
    <row r="12" spans="1:24" ht="13.8" x14ac:dyDescent="0.3">
      <c r="A12" s="32"/>
      <c r="B12" s="31" t="s">
        <v>4</v>
      </c>
      <c r="C12" s="33"/>
      <c r="D12" s="35">
        <f t="shared" ref="D12:W12" si="6">SUM(D9:D11)</f>
        <v>0</v>
      </c>
      <c r="E12" s="35">
        <f t="shared" si="6"/>
        <v>0</v>
      </c>
      <c r="F12" s="35">
        <f t="shared" si="6"/>
        <v>0</v>
      </c>
      <c r="G12" s="35">
        <f t="shared" si="6"/>
        <v>32467.73103521638</v>
      </c>
      <c r="H12" s="35">
        <f t="shared" si="6"/>
        <v>681822.35173954419</v>
      </c>
      <c r="I12" s="35">
        <f t="shared" si="6"/>
        <v>0</v>
      </c>
      <c r="J12" s="35">
        <f t="shared" si="6"/>
        <v>0</v>
      </c>
      <c r="K12" s="35">
        <f t="shared" si="6"/>
        <v>0</v>
      </c>
      <c r="L12" s="35">
        <f t="shared" si="6"/>
        <v>0</v>
      </c>
      <c r="M12" s="35">
        <f t="shared" si="6"/>
        <v>0</v>
      </c>
      <c r="N12" s="35">
        <f t="shared" si="6"/>
        <v>0</v>
      </c>
      <c r="O12" s="404">
        <f t="shared" si="6"/>
        <v>0</v>
      </c>
      <c r="P12" s="35">
        <f t="shared" si="6"/>
        <v>0</v>
      </c>
      <c r="Q12" s="35">
        <f t="shared" si="6"/>
        <v>0</v>
      </c>
      <c r="R12" s="35">
        <f t="shared" si="6"/>
        <v>0</v>
      </c>
      <c r="S12" s="35">
        <f t="shared" si="6"/>
        <v>0</v>
      </c>
      <c r="T12" s="35">
        <f t="shared" si="6"/>
        <v>0</v>
      </c>
      <c r="U12" s="35">
        <f t="shared" si="6"/>
        <v>0</v>
      </c>
      <c r="V12" s="35">
        <f t="shared" si="6"/>
        <v>0</v>
      </c>
      <c r="W12" s="35">
        <f t="shared" si="6"/>
        <v>0</v>
      </c>
      <c r="X12" s="150">
        <f t="shared" si="5"/>
        <v>714290.08277476055</v>
      </c>
    </row>
    <row r="13" spans="1:24" ht="13.8" x14ac:dyDescent="0.3">
      <c r="A13" s="32" t="s">
        <v>138</v>
      </c>
      <c r="B13" s="31"/>
      <c r="C13" s="34"/>
      <c r="D13" s="35"/>
      <c r="E13" s="35"/>
      <c r="F13" s="35"/>
      <c r="G13" s="35"/>
      <c r="H13" s="35"/>
      <c r="I13" s="35"/>
      <c r="J13" s="35"/>
      <c r="K13" s="35"/>
      <c r="L13" s="35"/>
      <c r="M13" s="35"/>
      <c r="N13" s="35"/>
      <c r="O13" s="404"/>
      <c r="P13" s="35"/>
      <c r="Q13" s="35"/>
      <c r="R13" s="35"/>
      <c r="S13" s="35"/>
      <c r="T13" s="35"/>
      <c r="U13" s="35"/>
      <c r="V13" s="35"/>
      <c r="W13" s="35"/>
      <c r="X13" s="150"/>
    </row>
    <row r="14" spans="1:24" ht="13.8" x14ac:dyDescent="0.3">
      <c r="A14" s="32"/>
      <c r="B14" s="31" t="s">
        <v>273</v>
      </c>
      <c r="C14" s="34"/>
      <c r="D14" s="290">
        <f>IF(DD_Seismic/12&gt;1,IF(OR(D$2=Design_Seismic,AND(D$2&gt;Design_Seismic,D$2&lt;=Design_Seismic+DD_Seismic/12)),(SUMIF(Full_Project,'Financial Summary (Future)'!$A$13,Full_FutDes))/ROUNDUP(DD_Seismic/12,0),0),IF(D$2=Design_Seismic,SUMIF(Full_Project,'Financial Summary (Future)'!$A$13,Full_FutDes),0))</f>
        <v>0</v>
      </c>
      <c r="E14" s="290">
        <f>IF(DD_Seismic/12&gt;1,IF(OR(E$2=Design_Seismic,AND(E$2&gt;Design_Seismic,E$2&lt;=Design_Seismic+DD_Seismic/12)),(SUMIF(Full_Project,'Financial Summary (Future)'!$A$13,Full_FutDes))/ROUNDUP(DD_Seismic/12,0),0),IF(E$2=Design_Seismic,SUMIF(Full_Project,'Financial Summary (Future)'!$A$13,Full_FutDes),0))</f>
        <v>0</v>
      </c>
      <c r="F14" s="290">
        <f>IF(DD_Seismic/12&gt;1,IF(OR(F$2=Design_Seismic,AND(F$2&gt;Design_Seismic,F$2&lt;=Design_Seismic+DD_Seismic/12)),(SUMIF(Full_Project,'Financial Summary (Future)'!$A$13,Full_FutDes))/ROUNDUP(DD_Seismic/12,0),0),IF(F$2=Design_Seismic,SUMIF(Full_Project,'Financial Summary (Future)'!$A$13,Full_FutDes),0))</f>
        <v>0</v>
      </c>
      <c r="G14" s="290">
        <f>IF(DD_Seismic/12&gt;1,IF(OR(G$2=Design_Seismic,AND(G$2&gt;Design_Seismic,G$2&lt;=Design_Seismic+DD_Seismic/12)),(SUMIF(Full_Project,'Financial Summary (Future)'!$A$13,Full_FutDes))/ROUNDUP(DD_Seismic/12,0),0),IF(G$2=Design_Seismic,SUMIF(Full_Project,'Financial Summary (Future)'!$A$13,Full_FutDes),0))</f>
        <v>160239.44168233947</v>
      </c>
      <c r="H14" s="290">
        <f>IF(DD_Seismic/12&gt;1,IF(OR(H$2=Design_Seismic,AND(H$2&gt;Design_Seismic,H$2&lt;=Design_Seismic+DD_Seismic/12)),(SUMIF(Full_Project,'Financial Summary (Future)'!$A$13,Full_FutDes))/ROUNDUP(DD_Seismic/12,0),0),IF(H$2=Design_Seismic,SUMIF(Full_Project,'Financial Summary (Future)'!$A$13,Full_FutDes),0))</f>
        <v>0</v>
      </c>
      <c r="I14" s="290">
        <f>IF(DD_Seismic/12&gt;1,IF(OR(I$2=Design_Seismic,AND(I$2&gt;Design_Seismic,I$2&lt;=Design_Seismic+DD_Seismic/12)),(SUMIF(Full_Project,'Financial Summary (Future)'!$A$13,Full_FutDes))/ROUNDUP(DD_Seismic/12,0),0),IF(I$2=Design_Seismic,SUMIF(Full_Project,'Financial Summary (Future)'!$A$13,Full_FutDes),0))</f>
        <v>0</v>
      </c>
      <c r="J14" s="290">
        <f>IF(DD_Seismic/12&gt;1,IF(OR(J$2=Design_Seismic,AND(J$2&gt;Design_Seismic,J$2&lt;=Design_Seismic+DD_Seismic/12)),(SUMIF(Full_Project,'Financial Summary (Future)'!$A$13,Full_FutDes))/ROUNDUP(DD_Seismic/12,0),0),IF(J$2=Design_Seismic,SUMIF(Full_Project,'Financial Summary (Future)'!$A$13,Full_FutDes),0))</f>
        <v>0</v>
      </c>
      <c r="K14" s="290">
        <f>IF(DD_Seismic/12&gt;1,IF(OR(K$2=Design_Seismic,AND(K$2&gt;Design_Seismic,K$2&lt;=Design_Seismic+DD_Seismic/12)),(SUMIF(Full_Project,'Financial Summary (Future)'!$A$13,Full_FutDes))/ROUNDUP(DD_Seismic/12,0),0),IF(K$2=Design_Seismic,SUMIF(Full_Project,'Financial Summary (Future)'!$A$13,Full_FutDes),0))</f>
        <v>0</v>
      </c>
      <c r="L14" s="290">
        <f>IF(DD_Seismic/12&gt;1,IF(OR(L$2=Design_Seismic,AND(L$2&gt;Design_Seismic,L$2&lt;=Design_Seismic+DD_Seismic/12)),(SUMIF(Full_Project,'Financial Summary (Future)'!$A$13,Full_FutDes))/ROUNDUP(DD_Seismic/12,0),0),IF(L$2=Design_Seismic,SUMIF(Full_Project,'Financial Summary (Future)'!$A$13,Full_FutDes),0))</f>
        <v>0</v>
      </c>
      <c r="M14" s="290">
        <f>IF(DD_Seismic/12&gt;1,IF(OR(M$2=Design_Seismic,AND(M$2&gt;Design_Seismic,M$2&lt;=Design_Seismic+DD_Seismic/12)),(SUMIF(Full_Project,'Financial Summary (Future)'!$A$13,Full_FutDes))/ROUNDUP(DD_Seismic/12,0),0),IF(M$2=Design_Seismic,SUMIF(Full_Project,'Financial Summary (Future)'!$A$13,Full_FutDes),0))</f>
        <v>0</v>
      </c>
      <c r="N14" s="290">
        <f>IF(DD_Seismic/12&gt;1,IF(OR(N$2=Design_Seismic,AND(N$2&gt;Design_Seismic,N$2&lt;=Design_Seismic+DD_Seismic/12)),(SUMIF(Full_Project,'Financial Summary (Future)'!$A$13,Full_FutDes))/ROUNDUP(DD_Seismic/12,0),0),IF(N$2=Design_Seismic,SUMIF(Full_Project,'Financial Summary (Future)'!$A$13,Full_FutDes),0))</f>
        <v>0</v>
      </c>
      <c r="O14" s="403">
        <f>IF(DD_Seismic/12&gt;1,IF(OR(O$2=Design_Seismic,AND(O$2&gt;Design_Seismic,O$2&lt;=Design_Seismic+DD_Seismic/12)),(SUMIF(Full_Project,'Financial Summary (Future)'!$A$13,Full_FutDes))/ROUNDUP(DD_Seismic/12,0),0),IF(O$2=Design_Seismic,SUMIF(Full_Project,'Financial Summary (Future)'!$A$13,Full_FutDes),0))</f>
        <v>0</v>
      </c>
      <c r="P14" s="290">
        <f>IF(DD_Seismic/12&gt;1,IF(OR(P$2=Design_Seismic,AND(P$2&gt;Design_Seismic,P$2&lt;=Design_Seismic+DD_Seismic/12)),(SUMIF(Full_Project,'Financial Summary (Future)'!$A$13,Full_FutDes))/ROUNDUP(DD_Seismic/12,0),0),IF(P$2=Design_Seismic,SUMIF(Full_Project,'Financial Summary (Future)'!$A$13,Full_FutDes),0))</f>
        <v>0</v>
      </c>
      <c r="Q14" s="290">
        <f>IF(DD_Seismic/12&gt;1,IF(OR(Q$2=Design_Seismic,AND(Q$2&gt;Design_Seismic,Q$2&lt;=Design_Seismic+DD_Seismic/12)),(SUMIF(Full_Project,'Financial Summary (Future)'!$A$13,Full_FutDes))/ROUNDUP(DD_Seismic/12,0),0),IF(Q$2=Design_Seismic,SUMIF(Full_Project,'Financial Summary (Future)'!$A$13,Full_FutDes),0))</f>
        <v>0</v>
      </c>
      <c r="R14" s="290">
        <f>IF(DD_Seismic/12&gt;1,IF(OR(R$2=Design_Seismic,AND(R$2&gt;Design_Seismic,R$2&lt;=Design_Seismic+DD_Seismic/12)),(SUMIF(Full_Project,'Financial Summary (Future)'!$A$13,Full_FutDes))/ROUNDUP(DD_Seismic/12,0),0),IF(R$2=Design_Seismic,SUMIF(Full_Project,'Financial Summary (Future)'!$A$13,Full_FutDes),0))</f>
        <v>0</v>
      </c>
      <c r="S14" s="290">
        <f>IF(DD_Seismic/12&gt;1,IF(OR(S$2=Design_Seismic,AND(S$2&gt;Design_Seismic,S$2&lt;=Design_Seismic+DD_Seismic/12)),(SUMIF(Full_Project,'Financial Summary (Future)'!$A$13,Full_FutDes))/ROUNDUP(DD_Seismic/12,0),0),IF(S$2=Design_Seismic,SUMIF(Full_Project,'Financial Summary (Future)'!$A$13,Full_FutDes),0))</f>
        <v>0</v>
      </c>
      <c r="T14" s="290">
        <f>IF(DD_Seismic/12&gt;1,IF(OR(T$2=Design_Seismic,AND(T$2&gt;Design_Seismic,T$2&lt;=Design_Seismic+DD_Seismic/12)),(SUMIF(Full_Project,'Financial Summary (Future)'!$A$13,Full_FutDes))/ROUNDUP(DD_Seismic/12,0),0),IF(T$2=Design_Seismic,SUMIF(Full_Project,'Financial Summary (Future)'!$A$13,Full_FutDes),0))</f>
        <v>0</v>
      </c>
      <c r="U14" s="290">
        <f>IF(DD_Seismic/12&gt;1,IF(OR(U$2=Design_Seismic,AND(U$2&gt;Design_Seismic,U$2&lt;=Design_Seismic+DD_Seismic/12)),(SUMIF(Full_Project,'Financial Summary (Future)'!$A$13,Full_FutDes))/ROUNDUP(DD_Seismic/12,0),0),IF(U$2=Design_Seismic,SUMIF(Full_Project,'Financial Summary (Future)'!$A$13,Full_FutDes),0))</f>
        <v>0</v>
      </c>
      <c r="V14" s="290">
        <f>IF(DD_Seismic/12&gt;1,IF(OR(V$2=Design_Seismic,AND(V$2&gt;Design_Seismic,V$2&lt;=Design_Seismic+DD_Seismic/12)),(SUMIF(Full_Project,'Financial Summary (Future)'!$A$13,Full_FutDes))/ROUNDUP(DD_Seismic/12,0),0),IF(V$2=Design_Seismic,SUMIF(Full_Project,'Financial Summary (Future)'!$A$13,Full_FutDes),0))</f>
        <v>0</v>
      </c>
      <c r="W14" s="290">
        <f>IF(DD_Seismic/12&gt;1,IF(OR(W$2=Design_Seismic,AND(W$2&gt;Design_Seismic,W$2&lt;=Design_Seismic+DD_Seismic/12)),(SUMIF(Full_Project,'Financial Summary (Future)'!$A$13,Full_FutDes))/ROUNDUP(DD_Seismic/12,0),0),IF(W$2=Design_Seismic,SUMIF(Full_Project,'Financial Summary (Future)'!$A$13,Full_FutDes),0))</f>
        <v>0</v>
      </c>
      <c r="X14" s="150">
        <f>SUM(D14:W14)</f>
        <v>160239.44168233947</v>
      </c>
    </row>
    <row r="15" spans="1:24" ht="13.8" x14ac:dyDescent="0.3">
      <c r="A15" s="32"/>
      <c r="B15" s="31" t="s">
        <v>272</v>
      </c>
      <c r="C15" s="34"/>
      <c r="D15" s="35">
        <f t="shared" ref="D15:W15" si="7">IF(OR(D$2=Design_Seismic,AND(D$2&gt;Design_Seismic,D$2&lt;Complete_Seismic)),SUMIF(Full_Project,$A$13,Full_FutAd)/(Duration_Seismic),0)</f>
        <v>0</v>
      </c>
      <c r="E15" s="35">
        <f t="shared" si="7"/>
        <v>0</v>
      </c>
      <c r="F15" s="35">
        <f t="shared" si="7"/>
        <v>0</v>
      </c>
      <c r="G15" s="35">
        <f t="shared" si="7"/>
        <v>53413.147227446498</v>
      </c>
      <c r="H15" s="35">
        <f t="shared" si="7"/>
        <v>53413.147227446498</v>
      </c>
      <c r="I15" s="35">
        <f t="shared" si="7"/>
        <v>0</v>
      </c>
      <c r="J15" s="35">
        <f t="shared" si="7"/>
        <v>0</v>
      </c>
      <c r="K15" s="35">
        <f t="shared" si="7"/>
        <v>0</v>
      </c>
      <c r="L15" s="35">
        <f t="shared" si="7"/>
        <v>0</v>
      </c>
      <c r="M15" s="35">
        <f t="shared" si="7"/>
        <v>0</v>
      </c>
      <c r="N15" s="35">
        <f t="shared" si="7"/>
        <v>0</v>
      </c>
      <c r="O15" s="404">
        <f t="shared" si="7"/>
        <v>0</v>
      </c>
      <c r="P15" s="35">
        <f t="shared" si="7"/>
        <v>0</v>
      </c>
      <c r="Q15" s="35">
        <f t="shared" si="7"/>
        <v>0</v>
      </c>
      <c r="R15" s="35">
        <f t="shared" si="7"/>
        <v>0</v>
      </c>
      <c r="S15" s="35">
        <f t="shared" si="7"/>
        <v>0</v>
      </c>
      <c r="T15" s="35">
        <f t="shared" si="7"/>
        <v>0</v>
      </c>
      <c r="U15" s="35">
        <f t="shared" si="7"/>
        <v>0</v>
      </c>
      <c r="V15" s="35">
        <f t="shared" si="7"/>
        <v>0</v>
      </c>
      <c r="W15" s="35">
        <f t="shared" si="7"/>
        <v>0</v>
      </c>
      <c r="X15" s="150">
        <f t="shared" ref="X15:X17" si="8">SUM(D15:W15)</f>
        <v>106826.294454893</v>
      </c>
    </row>
    <row r="16" spans="1:24" ht="13.8" x14ac:dyDescent="0.3">
      <c r="A16" s="32"/>
      <c r="B16" s="31" t="s">
        <v>5</v>
      </c>
      <c r="C16" s="34"/>
      <c r="D16" s="35">
        <f>IF(CD_Seismic/12&gt;1,IF(OR(D$2=Constr_Seismic,AND(D$2&gt;Constr_Seismic,D$2&lt;=Constr_Seismic+CD_Seismic/12)),(SUMIF(Full_Project,'Financial Summary (Future)'!$A$13,Full_Future)-$X14-$X15)/ROUNDUP((CD_Seismic+F_Seismic)/12,0),0),IF(D$2=Constr_Seismic,SUMIF(Full_Project,'Financial Summary (Future)'!$A$13,Full_Future)-$X14-$X15,0))</f>
        <v>0</v>
      </c>
      <c r="E16" s="35">
        <f>IF(CD_Seismic/12&gt;1,IF(OR(E$2=Constr_Seismic,AND(E$2&gt;Constr_Seismic,E$2&lt;=Constr_Seismic+CD_Seismic/12)),(SUMIF(Full_Project,'Financial Summary (Future)'!$A$13,Full_Future)-$X14-$X15)/ROUNDUP((CD_Seismic+F_Seismic)/12,0),0),IF(E$2=Constr_Seismic,SUMIF(Full_Project,'Financial Summary (Future)'!$A$13,Full_Future)-$X14-$X15,0))</f>
        <v>0</v>
      </c>
      <c r="F16" s="35">
        <f>IF(CD_Seismic/12&gt;1,IF(OR(F$2=Constr_Seismic,AND(F$2&gt;Constr_Seismic,F$2&lt;=Constr_Seismic+CD_Seismic/12)),(SUMIF(Full_Project,'Financial Summary (Future)'!$A$13,Full_Future)-$X14-$X15)/ROUNDUP((CD_Seismic+F_Seismic)/12,0),0),IF(F$2=Constr_Seismic,SUMIF(Full_Project,'Financial Summary (Future)'!$A$13,Full_Future)-$X14-$X15,0))</f>
        <v>0</v>
      </c>
      <c r="G16" s="35">
        <f>IF(CD_Seismic/12&gt;1,IF(OR(G$2=Constr_Seismic,AND(G$2&gt;Constr_Seismic,G$2&lt;=Constr_Seismic+CD_Seismic/12)),(SUMIF(Full_Project,'Financial Summary (Future)'!$A$13,Full_Future)-$X14-$X15)/ROUNDUP((CD_Seismic+F_Seismic)/12,0),0),IF(G$2=Constr_Seismic,SUMIF(Full_Project,'Financial Summary (Future)'!$A$13,Full_Future)-$X14-$X15,0))</f>
        <v>0</v>
      </c>
      <c r="H16" s="35">
        <f>IF(CD_Seismic/12&gt;1,IF(OR(H$2=Constr_Seismic,AND(H$2&gt;Constr_Seismic,H$2&lt;=Constr_Seismic+CD_Seismic/12)),(SUMIF(Full_Project,'Financial Summary (Future)'!$A$13,Full_Future)-$X14-$X15)/ROUNDUP((CD_Seismic+F_Seismic)/12,0),0),IF(H$2=Constr_Seismic,SUMIF(Full_Project,'Financial Summary (Future)'!$A$13,Full_Future)-$X14-$X15,0))</f>
        <v>1068262.9445489298</v>
      </c>
      <c r="I16" s="35">
        <f>IF(CD_Seismic/12&gt;1,IF(OR(I$2=Constr_Seismic,AND(I$2&gt;Constr_Seismic,I$2&lt;=Constr_Seismic+CD_Seismic/12)),(SUMIF(Full_Project,'Financial Summary (Future)'!$A$13,Full_Future)-$X14-$X15)/ROUNDUP((CD_Seismic+F_Seismic)/12,0),0),IF(I$2=Constr_Seismic,SUMIF(Full_Project,'Financial Summary (Future)'!$A$13,Full_Future)-$X14-$X15,0))</f>
        <v>0</v>
      </c>
      <c r="J16" s="35">
        <f>IF(CD_Seismic/12&gt;1,IF(OR(J$2=Constr_Seismic,AND(J$2&gt;Constr_Seismic,J$2&lt;=Constr_Seismic+CD_Seismic/12)),(SUMIF(Full_Project,'Financial Summary (Future)'!$A$13,Full_Future)-$X14-$X15)/ROUNDUP((CD_Seismic+F_Seismic)/12,0),0),IF(J$2=Constr_Seismic,SUMIF(Full_Project,'Financial Summary (Future)'!$A$13,Full_Future)-$X14-$X15,0))</f>
        <v>0</v>
      </c>
      <c r="K16" s="35">
        <f>IF(CD_Seismic/12&gt;1,IF(OR(K$2=Constr_Seismic,AND(K$2&gt;Constr_Seismic,K$2&lt;=Constr_Seismic+CD_Seismic/12)),(SUMIF(Full_Project,'Financial Summary (Future)'!$A$13,Full_Future)-$X14-$X15)/ROUNDUP((CD_Seismic+F_Seismic)/12,0),0),IF(K$2=Constr_Seismic,SUMIF(Full_Project,'Financial Summary (Future)'!$A$13,Full_Future)-$X14-$X15,0))</f>
        <v>0</v>
      </c>
      <c r="L16" s="35">
        <f>IF(CD_Seismic/12&gt;1,IF(OR(L$2=Constr_Seismic,AND(L$2&gt;Constr_Seismic,L$2&lt;=Constr_Seismic+CD_Seismic/12)),(SUMIF(Full_Project,'Financial Summary (Future)'!$A$13,Full_Future)-$X14-$X15)/ROUNDUP((CD_Seismic+F_Seismic)/12,0),0),IF(L$2=Constr_Seismic,SUMIF(Full_Project,'Financial Summary (Future)'!$A$13,Full_Future)-$X14-$X15,0))</f>
        <v>0</v>
      </c>
      <c r="M16" s="35">
        <f>IF(CD_Seismic/12&gt;1,IF(OR(M$2=Constr_Seismic,AND(M$2&gt;Constr_Seismic,M$2&lt;=Constr_Seismic+CD_Seismic/12)),(SUMIF(Full_Project,'Financial Summary (Future)'!$A$13,Full_Future)-$X14-$X15)/ROUNDUP((CD_Seismic+F_Seismic)/12,0),0),IF(M$2=Constr_Seismic,SUMIF(Full_Project,'Financial Summary (Future)'!$A$13,Full_Future)-$X14-$X15,0))</f>
        <v>0</v>
      </c>
      <c r="N16" s="35">
        <f>IF(CD_Seismic/12&gt;1,IF(OR(N$2=Constr_Seismic,AND(N$2&gt;Constr_Seismic,N$2&lt;=Constr_Seismic+CD_Seismic/12)),(SUMIF(Full_Project,'Financial Summary (Future)'!$A$13,Full_Future)-$X14-$X15)/ROUNDUP((CD_Seismic+F_Seismic)/12,0),0),IF(N$2=Constr_Seismic,SUMIF(Full_Project,'Financial Summary (Future)'!$A$13,Full_Future)-$X14-$X15,0))</f>
        <v>0</v>
      </c>
      <c r="O16" s="35">
        <f>IF(CD_Seismic/12&gt;1,IF(OR(O$2=Constr_Seismic,AND(O$2&gt;Constr_Seismic,O$2&lt;=Constr_Seismic+CD_Seismic/12)),(SUMIF(Full_Project,'Financial Summary (Future)'!$A$13,Full_Future)-$X14-$X15)/ROUNDUP((CD_Seismic+F_Seismic)/12,0),0),IF(O$2=Constr_Seismic,SUMIF(Full_Project,'Financial Summary (Future)'!$A$13,Full_Future)-$X14-$X15,0))</f>
        <v>0</v>
      </c>
      <c r="P16" s="35">
        <f>IF(CD_Seismic/12&gt;1,IF(OR(P$2=Constr_Seismic,AND(P$2&gt;Constr_Seismic,P$2&lt;=Constr_Seismic+CD_Seismic/12)),(SUMIF(Full_Project,'Financial Summary (Future)'!$A$13,Full_Future)-$X14-$X15)/ROUNDUP((CD_Seismic+F_Seismic)/12,0),0),IF(P$2=Constr_Seismic,SUMIF(Full_Project,'Financial Summary (Future)'!$A$13,Full_Future)-$X14-$X15,0))</f>
        <v>0</v>
      </c>
      <c r="Q16" s="35">
        <f>IF(CD_Seismic/12&gt;1,IF(OR(Q$2=Constr_Seismic,AND(Q$2&gt;Constr_Seismic,Q$2&lt;=Constr_Seismic+CD_Seismic/12)),(SUMIF(Full_Project,'Financial Summary (Future)'!$A$13,Full_Future)-$X14-$X15)/ROUNDUP((CD_Seismic+F_Seismic)/12,0),0),IF(Q$2=Constr_Seismic,SUMIF(Full_Project,'Financial Summary (Future)'!$A$13,Full_Future)-$X14-$X15,0))</f>
        <v>0</v>
      </c>
      <c r="R16" s="35">
        <f>IF(CD_Seismic/12&gt;1,IF(OR(R$2=Constr_Seismic,AND(R$2&gt;Constr_Seismic,R$2&lt;=Constr_Seismic+CD_Seismic/12)),(SUMIF(Full_Project,'Financial Summary (Future)'!$A$13,Full_Future)-$X14-$X15)/ROUNDUP((CD_Seismic+F_Seismic)/12,0),0),IF(R$2=Constr_Seismic,SUMIF(Full_Project,'Financial Summary (Future)'!$A$13,Full_Future)-$X14-$X15,0))</f>
        <v>0</v>
      </c>
      <c r="S16" s="35">
        <f>IF(CD_Seismic/12&gt;1,IF(OR(S$2=Constr_Seismic,AND(S$2&gt;Constr_Seismic,S$2&lt;=Constr_Seismic+CD_Seismic/12)),(SUMIF(Full_Project,'Financial Summary (Future)'!$A$13,Full_Future)-$X14-$X15)/ROUNDUP((CD_Seismic+F_Seismic)/12,0),0),IF(S$2=Constr_Seismic,SUMIF(Full_Project,'Financial Summary (Future)'!$A$13,Full_Future)-$X14-$X15,0))</f>
        <v>0</v>
      </c>
      <c r="T16" s="35">
        <f>IF(CD_Seismic/12&gt;1,IF(OR(T$2=Constr_Seismic,AND(T$2&gt;Constr_Seismic,T$2&lt;=Constr_Seismic+CD_Seismic/12)),(SUMIF(Full_Project,'Financial Summary (Future)'!$A$13,Full_Future)-$X14-$X15)/ROUNDUP((CD_Seismic+F_Seismic)/12,0),0),IF(T$2=Constr_Seismic,SUMIF(Full_Project,'Financial Summary (Future)'!$A$13,Full_Future)-$X14-$X15,0))</f>
        <v>0</v>
      </c>
      <c r="U16" s="35">
        <f>IF(CD_Seismic/12&gt;1,IF(OR(U$2=Constr_Seismic,AND(U$2&gt;Constr_Seismic,U$2&lt;=Constr_Seismic+CD_Seismic/12)),(SUMIF(Full_Project,'Financial Summary (Future)'!$A$13,Full_Future)-$X14-$X15)/ROUNDUP((CD_Seismic+F_Seismic)/12,0),0),IF(U$2=Constr_Seismic,SUMIF(Full_Project,'Financial Summary (Future)'!$A$13,Full_Future)-$X14-$X15,0))</f>
        <v>0</v>
      </c>
      <c r="V16" s="35">
        <f>IF(CD_Seismic/12&gt;1,IF(OR(V$2=Constr_Seismic,AND(V$2&gt;Constr_Seismic,V$2&lt;=Constr_Seismic+CD_Seismic/12)),(SUMIF(Full_Project,'Financial Summary (Future)'!$A$13,Full_Future)-$X14-$X15)/ROUNDUP((CD_Seismic+F_Seismic)/12,0),0),IF(V$2=Constr_Seismic,SUMIF(Full_Project,'Financial Summary (Future)'!$A$13,Full_Future)-$X14-$X15,0))</f>
        <v>0</v>
      </c>
      <c r="W16" s="35">
        <f>IF(CD_Seismic/12&gt;1,IF(OR(W$2=Constr_Seismic,AND(W$2&gt;Constr_Seismic,W$2&lt;=Constr_Seismic+CD_Seismic/12)),(SUMIF(Full_Project,'Financial Summary (Future)'!$A$13,Full_Future)-$X14-$X15)/ROUNDUP((CD_Seismic+F_Seismic)/12,0),0),IF(W$2=Constr_Seismic,SUMIF(Full_Project,'Financial Summary (Future)'!$A$13,Full_Future)-$X14-$X15,0))</f>
        <v>0</v>
      </c>
      <c r="X16" s="150">
        <f t="shared" si="8"/>
        <v>1068262.9445489298</v>
      </c>
    </row>
    <row r="17" spans="1:24" ht="13.8" x14ac:dyDescent="0.3">
      <c r="A17" s="32"/>
      <c r="B17" s="31" t="s">
        <v>4</v>
      </c>
      <c r="C17" s="33"/>
      <c r="D17" s="35">
        <f t="shared" ref="D17:W17" si="9">SUM(D14:D16)</f>
        <v>0</v>
      </c>
      <c r="E17" s="35">
        <f t="shared" si="9"/>
        <v>0</v>
      </c>
      <c r="F17" s="35">
        <f t="shared" si="9"/>
        <v>0</v>
      </c>
      <c r="G17" s="35">
        <f t="shared" si="9"/>
        <v>213652.58890978596</v>
      </c>
      <c r="H17" s="35">
        <f t="shared" si="9"/>
        <v>1121676.0917763764</v>
      </c>
      <c r="I17" s="35">
        <f t="shared" si="9"/>
        <v>0</v>
      </c>
      <c r="J17" s="35">
        <f t="shared" si="9"/>
        <v>0</v>
      </c>
      <c r="K17" s="35">
        <f t="shared" si="9"/>
        <v>0</v>
      </c>
      <c r="L17" s="35">
        <f t="shared" si="9"/>
        <v>0</v>
      </c>
      <c r="M17" s="35">
        <f t="shared" si="9"/>
        <v>0</v>
      </c>
      <c r="N17" s="35">
        <f t="shared" si="9"/>
        <v>0</v>
      </c>
      <c r="O17" s="404">
        <f t="shared" si="9"/>
        <v>0</v>
      </c>
      <c r="P17" s="35">
        <f t="shared" si="9"/>
        <v>0</v>
      </c>
      <c r="Q17" s="35">
        <f t="shared" si="9"/>
        <v>0</v>
      </c>
      <c r="R17" s="35">
        <f t="shared" si="9"/>
        <v>0</v>
      </c>
      <c r="S17" s="35">
        <f t="shared" si="9"/>
        <v>0</v>
      </c>
      <c r="T17" s="35">
        <f t="shared" si="9"/>
        <v>0</v>
      </c>
      <c r="U17" s="35">
        <f t="shared" si="9"/>
        <v>0</v>
      </c>
      <c r="V17" s="35">
        <f t="shared" si="9"/>
        <v>0</v>
      </c>
      <c r="W17" s="35">
        <f t="shared" si="9"/>
        <v>0</v>
      </c>
      <c r="X17" s="150">
        <f t="shared" si="8"/>
        <v>1335328.6806861623</v>
      </c>
    </row>
    <row r="18" spans="1:24" ht="13.8" x14ac:dyDescent="0.3">
      <c r="A18" s="32" t="s">
        <v>219</v>
      </c>
      <c r="B18" s="31"/>
      <c r="C18" s="34"/>
      <c r="D18" s="35"/>
      <c r="E18" s="35"/>
      <c r="F18" s="35"/>
      <c r="G18" s="35"/>
      <c r="H18" s="35"/>
      <c r="I18" s="35"/>
      <c r="J18" s="35"/>
      <c r="K18" s="35"/>
      <c r="L18" s="35"/>
      <c r="M18" s="35"/>
      <c r="N18" s="35"/>
      <c r="O18" s="404"/>
      <c r="P18" s="35"/>
      <c r="Q18" s="35"/>
      <c r="R18" s="35"/>
      <c r="S18" s="35"/>
      <c r="T18" s="35"/>
      <c r="U18" s="35"/>
      <c r="V18" s="35"/>
      <c r="W18" s="35"/>
      <c r="X18" s="150"/>
    </row>
    <row r="19" spans="1:24" ht="13.8" x14ac:dyDescent="0.3">
      <c r="A19" s="32"/>
      <c r="B19" s="31" t="s">
        <v>273</v>
      </c>
      <c r="C19" s="34"/>
      <c r="D19" s="290">
        <f>IF(DD_30MGD/12&gt;1,IF(OR(D$2=Design_30MGD,AND(D$2&gt;Design_30MGD,D$2&lt;=Design_30MGD+DD_30MGD/12)),(SUMIF(Full_Project,'Financial Summary (Future)'!$A$18,Full_FutDes))/ROUNDUP(DD_30MGD/12,0),0),IF(D$2=Design_30MGD,SUMIF(Full_Project,'Financial Summary (Future)'!$A$18,Full_FutDes),0))</f>
        <v>0</v>
      </c>
      <c r="E19" s="290">
        <f>IF(DD_30MGD/12&gt;1,IF(OR(E$2=Design_30MGD,AND(E$2&gt;Design_30MGD,E$2&lt;=Design_30MGD+DD_30MGD/12)),(SUMIF(Full_Project,'Financial Summary (Future)'!$A$18,Full_FutDes))/ROUNDUP(DD_30MGD/12,0),0),IF(E$2=Design_30MGD,SUMIF(Full_Project,'Financial Summary (Future)'!$A$18,Full_FutDes),0))</f>
        <v>0</v>
      </c>
      <c r="F19" s="290">
        <f>IF(DD_30MGD/12&gt;1,IF(OR(F$2=Design_30MGD,AND(F$2&gt;Design_30MGD,F$2&lt;=Design_30MGD+DD_30MGD/12)),(SUMIF(Full_Project,'Financial Summary (Future)'!$A$18,Full_FutDes))/ROUNDUP(DD_30MGD/12,0),0),IF(F$2=Design_30MGD,SUMIF(Full_Project,'Financial Summary (Future)'!$A$18,Full_FutDes),0))</f>
        <v>0</v>
      </c>
      <c r="G19" s="290">
        <f>IF(DD_30MGD/12&gt;1,IF(OR(G$2=Design_30MGD,AND(G$2&gt;Design_30MGD,G$2&lt;=Design_30MGD+DD_30MGD/12)),(SUMIF(Full_Project,'Financial Summary (Future)'!$A$18,Full_FutDes))/ROUNDUP(DD_30MGD/12,0),0),IF(G$2=Design_30MGD,SUMIF(Full_Project,'Financial Summary (Future)'!$A$18,Full_FutDes),0))</f>
        <v>0</v>
      </c>
      <c r="H19" s="290">
        <f>IF(DD_30MGD/12&gt;1,IF(OR(H$2=Design_30MGD,AND(H$2&gt;Design_30MGD,H$2&lt;=Design_30MGD+DD_30MGD/12)),(SUMIF(Full_Project,'Financial Summary (Future)'!$A$18,Full_FutDes))/ROUNDUP(DD_30MGD/12,0),0),IF(H$2=Design_30MGD,SUMIF(Full_Project,'Financial Summary (Future)'!$A$18,Full_FutDes),0))</f>
        <v>0</v>
      </c>
      <c r="I19" s="290">
        <f>IF(DD_30MGD/12&gt;1,IF(OR(I$2=Design_30MGD,AND(I$2&gt;Design_30MGD,I$2&lt;=Design_30MGD+DD_30MGD/12)),(SUMIF(Full_Project,'Financial Summary (Future)'!$A$18,Full_FutDes))/ROUNDUP(DD_30MGD/12,0),0),IF(I$2=Design_30MGD,SUMIF(Full_Project,'Financial Summary (Future)'!$A$18,Full_FutDes),0))</f>
        <v>0</v>
      </c>
      <c r="J19" s="290">
        <f>IF(DD_30MGD/12&gt;1,IF(OR(J$2=Design_30MGD,AND(J$2&gt;Design_30MGD,J$2&lt;=Design_30MGD+DD_30MGD/12)),(SUMIF(Full_Project,'Financial Summary (Future)'!$A$18,Full_FutDes))/ROUNDUP(DD_30MGD/12,0),0),IF(J$2=Design_30MGD,SUMIF(Full_Project,'Financial Summary (Future)'!$A$18,Full_FutDes),0))</f>
        <v>0</v>
      </c>
      <c r="K19" s="290">
        <f>IF(DD_30MGD/12&gt;1,IF(OR(K$2=Design_30MGD,AND(K$2&gt;Design_30MGD,K$2&lt;=Design_30MGD+DD_30MGD/12)),(SUMIF(Full_Project,'Financial Summary (Future)'!$A$18,Full_FutDes))/ROUNDUP(DD_30MGD/12,0),0),IF(K$2=Design_30MGD,SUMIF(Full_Project,'Financial Summary (Future)'!$A$18,Full_FutDes),0))</f>
        <v>0</v>
      </c>
      <c r="L19" s="290">
        <f>IF(DD_30MGD/12&gt;1,IF(OR(L$2=Design_30MGD,AND(L$2&gt;Design_30MGD,L$2&lt;=Design_30MGD+DD_30MGD/12)),(SUMIF(Full_Project,'Financial Summary (Future)'!$A$18,Full_FutDes))/ROUNDUP(DD_30MGD/12,0),0),IF(L$2=Design_30MGD,SUMIF(Full_Project,'Financial Summary (Future)'!$A$18,Full_FutDes),0))</f>
        <v>0</v>
      </c>
      <c r="M19" s="290">
        <f>IF(DD_30MGD/12&gt;1,IF(OR(M$2=Design_30MGD,AND(M$2&gt;Design_30MGD,M$2&lt;=Design_30MGD+DD_30MGD/12)),(SUMIF(Full_Project,'Financial Summary (Future)'!$A$18,Full_FutDes))/ROUNDUP(DD_30MGD/12,0),0),IF(M$2=Design_30MGD,SUMIF(Full_Project,'Financial Summary (Future)'!$A$18,Full_FutDes),0))</f>
        <v>0</v>
      </c>
      <c r="N19" s="290">
        <f>IF(DD_30MGD/12&gt;1,IF(OR(N$2=Design_30MGD,AND(N$2&gt;Design_30MGD,N$2&lt;=Design_30MGD+DD_30MGD/12)),(SUMIF(Full_Project,'Financial Summary (Future)'!$A$18,Full_FutDes))/ROUNDUP(DD_30MGD/12,0),0),IF(N$2=Design_30MGD,SUMIF(Full_Project,'Financial Summary (Future)'!$A$18,Full_FutDes),0))</f>
        <v>0</v>
      </c>
      <c r="O19" s="403">
        <f>IF(DD_30MGD/12&gt;1,IF(OR(O$2=Design_30MGD,AND(O$2&gt;Design_30MGD,O$2&lt;=Design_30MGD+DD_30MGD/12)),(SUMIF(Full_Project,'Financial Summary (Future)'!$A$18,Full_FutDes))/ROUNDUP(DD_30MGD/12,0),0),IF(O$2=Design_30MGD,SUMIF(Full_Project,'Financial Summary (Future)'!$A$18,Full_FutDes),0))</f>
        <v>0</v>
      </c>
      <c r="P19" s="290">
        <f>IF(DD_30MGD/12&gt;1,IF(OR(P$2=Design_30MGD,AND(P$2&gt;Design_30MGD,P$2&lt;=Design_30MGD+DD_30MGD/12)),(SUMIF(Full_Project,'Financial Summary (Future)'!$A$18,Full_FutDes))/ROUNDUP(DD_30MGD/12,0),0),IF(P$2=Design_30MGD,SUMIF(Full_Project,'Financial Summary (Future)'!$A$18,Full_FutDes),0))</f>
        <v>0</v>
      </c>
      <c r="Q19" s="290">
        <f>IF(DD_30MGD/12&gt;1,IF(OR(Q$2=Design_30MGD,AND(Q$2&gt;Design_30MGD,Q$2&lt;=Design_30MGD+DD_30MGD/12)),(SUMIF(Full_Project,'Financial Summary (Future)'!$A$18,Full_FutDes))/ROUNDUP(DD_30MGD/12,0),0),IF(Q$2=Design_30MGD,SUMIF(Full_Project,'Financial Summary (Future)'!$A$18,Full_FutDes),0))</f>
        <v>7663670.5197756272</v>
      </c>
      <c r="R19" s="290">
        <f>IF(DD_30MGD/12&gt;1,IF(OR(R$2=Design_30MGD,AND(R$2&gt;Design_30MGD,R$2&lt;=Design_30MGD+DD_30MGD/12)),(SUMIF(Full_Project,'Financial Summary (Future)'!$A$18,Full_FutDes))/ROUNDUP(DD_30MGD/12,0),0),IF(R$2=Design_30MGD,SUMIF(Full_Project,'Financial Summary (Future)'!$A$18,Full_FutDes),0))</f>
        <v>0</v>
      </c>
      <c r="S19" s="290">
        <f>IF(DD_30MGD/12&gt;1,IF(OR(S$2=Design_30MGD,AND(S$2&gt;Design_30MGD,S$2&lt;=Design_30MGD+DD_30MGD/12)),(SUMIF(Full_Project,'Financial Summary (Future)'!$A$18,Full_FutDes))/ROUNDUP(DD_30MGD/12,0),0),IF(S$2=Design_30MGD,SUMIF(Full_Project,'Financial Summary (Future)'!$A$18,Full_FutDes),0))</f>
        <v>0</v>
      </c>
      <c r="T19" s="290">
        <f>IF(DD_30MGD/12&gt;1,IF(OR(T$2=Design_30MGD,AND(T$2&gt;Design_30MGD,T$2&lt;=Design_30MGD+DD_30MGD/12)),(SUMIF(Full_Project,'Financial Summary (Future)'!$A$18,Full_FutDes))/ROUNDUP(DD_30MGD/12,0),0),IF(T$2=Design_30MGD,SUMIF(Full_Project,'Financial Summary (Future)'!$A$18,Full_FutDes),0))</f>
        <v>0</v>
      </c>
      <c r="U19" s="290">
        <f>IF(DD_30MGD/12&gt;1,IF(OR(U$2=Design_30MGD,AND(U$2&gt;Design_30MGD,U$2&lt;=Design_30MGD+DD_30MGD/12)),(SUMIF(Full_Project,'Financial Summary (Future)'!$A$18,Full_FutDes))/ROUNDUP(DD_30MGD/12,0),0),IF(U$2=Design_30MGD,SUMIF(Full_Project,'Financial Summary (Future)'!$A$18,Full_FutDes),0))</f>
        <v>0</v>
      </c>
      <c r="V19" s="290">
        <f>IF(DD_30MGD/12&gt;1,IF(OR(V$2=Design_30MGD,AND(V$2&gt;Design_30MGD,V$2&lt;=Design_30MGD+DD_30MGD/12)),(SUMIF(Full_Project,'Financial Summary (Future)'!$A$18,Full_FutDes))/ROUNDUP(DD_30MGD/12,0),0),IF(V$2=Design_30MGD,SUMIF(Full_Project,'Financial Summary (Future)'!$A$18,Full_FutDes),0))</f>
        <v>0</v>
      </c>
      <c r="W19" s="290">
        <f>IF(DD_30MGD/12&gt;1,IF(OR(W$2=Design_30MGD,AND(W$2&gt;Design_30MGD,W$2&lt;=Design_30MGD+DD_30MGD/12)),(SUMIF(Full_Project,'Financial Summary (Future)'!$A$18,Full_FutDes))/ROUNDUP(DD_30MGD/12,0),0),IF(W$2=Design_30MGD,SUMIF(Full_Project,'Financial Summary (Future)'!$A$18,Full_FutDes),0))</f>
        <v>0</v>
      </c>
      <c r="X19" s="150">
        <f>SUM(D19:W19)</f>
        <v>7663670.5197756272</v>
      </c>
    </row>
    <row r="20" spans="1:24" ht="13.8" x14ac:dyDescent="0.3">
      <c r="A20" s="32"/>
      <c r="B20" s="31" t="s">
        <v>272</v>
      </c>
      <c r="C20" s="34"/>
      <c r="D20" s="35">
        <f t="shared" ref="D20:W20" si="10">IF(OR(D$2=Design_30MGD,AND(D$2&gt;Design_30MGD,D$2&lt;Complete_30MGD)),SUMIF(Full_Project,$A$18,Full_FutAd)/(Duration_30MGD),0)</f>
        <v>0</v>
      </c>
      <c r="E20" s="35">
        <f t="shared" si="10"/>
        <v>0</v>
      </c>
      <c r="F20" s="35">
        <f t="shared" si="10"/>
        <v>0</v>
      </c>
      <c r="G20" s="35">
        <f t="shared" si="10"/>
        <v>0</v>
      </c>
      <c r="H20" s="35">
        <f t="shared" si="10"/>
        <v>0</v>
      </c>
      <c r="I20" s="35">
        <f t="shared" si="10"/>
        <v>0</v>
      </c>
      <c r="J20" s="35">
        <f t="shared" si="10"/>
        <v>0</v>
      </c>
      <c r="K20" s="35">
        <f t="shared" si="10"/>
        <v>0</v>
      </c>
      <c r="L20" s="35">
        <f t="shared" si="10"/>
        <v>0</v>
      </c>
      <c r="M20" s="35">
        <f t="shared" si="10"/>
        <v>0</v>
      </c>
      <c r="N20" s="35">
        <f t="shared" si="10"/>
        <v>0</v>
      </c>
      <c r="O20" s="404">
        <f t="shared" si="10"/>
        <v>0</v>
      </c>
      <c r="P20" s="35">
        <f t="shared" si="10"/>
        <v>0</v>
      </c>
      <c r="Q20" s="35">
        <f t="shared" si="10"/>
        <v>1277278.4199626045</v>
      </c>
      <c r="R20" s="35">
        <f t="shared" si="10"/>
        <v>1277278.4199626045</v>
      </c>
      <c r="S20" s="35">
        <f t="shared" si="10"/>
        <v>1277278.4199626045</v>
      </c>
      <c r="T20" s="35">
        <f t="shared" si="10"/>
        <v>1277278.4199626045</v>
      </c>
      <c r="U20" s="35">
        <f t="shared" si="10"/>
        <v>0</v>
      </c>
      <c r="V20" s="35">
        <f t="shared" si="10"/>
        <v>0</v>
      </c>
      <c r="W20" s="35">
        <f t="shared" si="10"/>
        <v>0</v>
      </c>
      <c r="X20" s="150">
        <f t="shared" ref="X20:X22" si="11">SUM(D20:W20)</f>
        <v>5109113.6798504181</v>
      </c>
    </row>
    <row r="21" spans="1:24" ht="13.8" x14ac:dyDescent="0.3">
      <c r="A21" s="32"/>
      <c r="B21" s="31" t="s">
        <v>5</v>
      </c>
      <c r="C21" s="34"/>
      <c r="D21" s="35">
        <f>IF(CD_30MGD/12&gt;1,IF(OR(D$2=Constr_30MGD,AND(D$2&gt;Constr_30MGD,D$2&lt;=Constr_30MGD+CD_30MGD/12)),(SUMIF(Full_Project,'Financial Summary (Future)'!$A$18,Full_Future)-$X19-$X20)/ROUNDUP((CD_30MGD+F_30MGD)/12,0),0),IF(D$2=Constr_30MGD,SUMIF(Full_Project,'Financial Summary (Future)'!$A$18,Full_Future)-$X19-$X20,0))</f>
        <v>0</v>
      </c>
      <c r="E21" s="35">
        <f>IF(CD_30MGD/12&gt;1,IF(OR(E$2=Constr_30MGD,AND(E$2&gt;Constr_30MGD,E$2&lt;=Constr_30MGD+CD_30MGD/12)),(SUMIF(Full_Project,'Financial Summary (Future)'!$A$18,Full_Future)-$X19-$X20)/ROUNDUP((CD_30MGD+F_30MGD)/12,0),0),IF(E$2=Constr_30MGD,SUMIF(Full_Project,'Financial Summary (Future)'!$A$18,Full_Future)-$X19-$X20,0))</f>
        <v>0</v>
      </c>
      <c r="F21" s="35">
        <f>IF(CD_30MGD/12&gt;1,IF(OR(F$2=Constr_30MGD,AND(F$2&gt;Constr_30MGD,F$2&lt;=Constr_30MGD+CD_30MGD/12)),(SUMIF(Full_Project,'Financial Summary (Future)'!$A$18,Full_Future)-$X19-$X20)/ROUNDUP((CD_30MGD+F_30MGD)/12,0),0),IF(F$2=Constr_30MGD,SUMIF(Full_Project,'Financial Summary (Future)'!$A$18,Full_Future)-$X19-$X20,0))</f>
        <v>0</v>
      </c>
      <c r="G21" s="35">
        <f>IF(CD_30MGD/12&gt;1,IF(OR(G$2=Constr_30MGD,AND(G$2&gt;Constr_30MGD,G$2&lt;=Constr_30MGD+CD_30MGD/12)),(SUMIF(Full_Project,'Financial Summary (Future)'!$A$18,Full_Future)-$X19-$X20)/ROUNDUP((CD_30MGD+F_30MGD)/12,0),0),IF(G$2=Constr_30MGD,SUMIF(Full_Project,'Financial Summary (Future)'!$A$18,Full_Future)-$X19-$X20,0))</f>
        <v>0</v>
      </c>
      <c r="H21" s="35">
        <f>IF(CD_30MGD/12&gt;1,IF(OR(H$2=Constr_30MGD,AND(H$2&gt;Constr_30MGD,H$2&lt;=Constr_30MGD+CD_30MGD/12)),(SUMIF(Full_Project,'Financial Summary (Future)'!$A$18,Full_Future)-$X19-$X20)/ROUNDUP((CD_30MGD+F_30MGD)/12,0),0),IF(H$2=Constr_30MGD,SUMIF(Full_Project,'Financial Summary (Future)'!$A$18,Full_Future)-$X19-$X20,0))</f>
        <v>0</v>
      </c>
      <c r="I21" s="35">
        <f>IF(CD_30MGD/12&gt;1,IF(OR(I$2=Constr_30MGD,AND(I$2&gt;Constr_30MGD,I$2&lt;=Constr_30MGD+CD_30MGD/12)),(SUMIF(Full_Project,'Financial Summary (Future)'!$A$18,Full_Future)-$X19-$X20)/ROUNDUP((CD_30MGD+F_30MGD)/12,0),0),IF(I$2=Constr_30MGD,SUMIF(Full_Project,'Financial Summary (Future)'!$A$18,Full_Future)-$X19-$X20,0))</f>
        <v>0</v>
      </c>
      <c r="J21" s="35">
        <f>IF(CD_30MGD/12&gt;1,IF(OR(J$2=Constr_30MGD,AND(J$2&gt;Constr_30MGD,J$2&lt;=Constr_30MGD+CD_30MGD/12)),(SUMIF(Full_Project,'Financial Summary (Future)'!$A$18,Full_Future)-$X19-$X20)/ROUNDUP((CD_30MGD+F_30MGD)/12,0),0),IF(J$2=Constr_30MGD,SUMIF(Full_Project,'Financial Summary (Future)'!$A$18,Full_Future)-$X19-$X20,0))</f>
        <v>0</v>
      </c>
      <c r="K21" s="35">
        <f>IF(CD_30MGD/12&gt;1,IF(OR(K$2=Constr_30MGD,AND(K$2&gt;Constr_30MGD,K$2&lt;=Constr_30MGD+CD_30MGD/12)),(SUMIF(Full_Project,'Financial Summary (Future)'!$A$18,Full_Future)-$X19-$X20)/ROUNDUP((CD_30MGD+F_30MGD)/12,0),0),IF(K$2=Constr_30MGD,SUMIF(Full_Project,'Financial Summary (Future)'!$A$18,Full_Future)-$X19-$X20,0))</f>
        <v>0</v>
      </c>
      <c r="L21" s="35">
        <f>IF(CD_30MGD/12&gt;1,IF(OR(L$2=Constr_30MGD,AND(L$2&gt;Constr_30MGD,L$2&lt;=Constr_30MGD+CD_30MGD/12)),(SUMIF(Full_Project,'Financial Summary (Future)'!$A$18,Full_Future)-$X19-$X20)/ROUNDUP((CD_30MGD+F_30MGD)/12,0),0),IF(L$2=Constr_30MGD,SUMIF(Full_Project,'Financial Summary (Future)'!$A$18,Full_Future)-$X19-$X20,0))</f>
        <v>0</v>
      </c>
      <c r="M21" s="35">
        <f>IF(CD_30MGD/12&gt;1,IF(OR(M$2=Constr_30MGD,AND(M$2&gt;Constr_30MGD,M$2&lt;=Constr_30MGD+CD_30MGD/12)),(SUMIF(Full_Project,'Financial Summary (Future)'!$A$18,Full_Future)-$X19-$X20)/ROUNDUP((CD_30MGD+F_30MGD)/12,0),0),IF(M$2=Constr_30MGD,SUMIF(Full_Project,'Financial Summary (Future)'!$A$18,Full_Future)-$X19-$X20,0))</f>
        <v>0</v>
      </c>
      <c r="N21" s="35">
        <f>IF(CD_30MGD/12&gt;1,IF(OR(N$2=Constr_30MGD,AND(N$2&gt;Constr_30MGD,N$2&lt;=Constr_30MGD+CD_30MGD/12)),(SUMIF(Full_Project,'Financial Summary (Future)'!$A$18,Full_Future)-$X19-$X20)/ROUNDUP((CD_30MGD+F_30MGD)/12,0),0),IF(N$2=Constr_30MGD,SUMIF(Full_Project,'Financial Summary (Future)'!$A$18,Full_Future)-$X19-$X20,0))</f>
        <v>0</v>
      </c>
      <c r="O21" s="35">
        <f>IF(CD_30MGD/12&gt;1,IF(OR(O$2=Constr_30MGD,AND(O$2&gt;Constr_30MGD,O$2&lt;=Constr_30MGD+CD_30MGD/12)),(SUMIF(Full_Project,'Financial Summary (Future)'!$A$18,Full_Future)-$X19-$X20)/ROUNDUP((CD_30MGD+F_30MGD)/12,0),0),IF(O$2=Constr_30MGD,SUMIF(Full_Project,'Financial Summary (Future)'!$A$18,Full_Future)-$X19-$X20,0))</f>
        <v>0</v>
      </c>
      <c r="P21" s="35">
        <f>IF(CD_30MGD/12&gt;1,IF(OR(P$2=Constr_30MGD,AND(P$2&gt;Constr_30MGD,P$2&lt;=Constr_30MGD+CD_30MGD/12)),(SUMIF(Full_Project,'Financial Summary (Future)'!$A$18,Full_Future)-$X19-$X20)/ROUNDUP((CD_30MGD+F_30MGD)/12,0),0),IF(P$2=Constr_30MGD,SUMIF(Full_Project,'Financial Summary (Future)'!$A$18,Full_Future)-$X19-$X20,0))</f>
        <v>0</v>
      </c>
      <c r="Q21" s="35">
        <f>IF(CD_30MGD/12&gt;1,IF(OR(Q$2=Constr_30MGD,AND(Q$2&gt;Constr_30MGD,Q$2&lt;=Constr_30MGD+CD_30MGD/12)),(SUMIF(Full_Project,'Financial Summary (Future)'!$A$18,Full_Future)-$X19-$X20)/ROUNDUP((CD_30MGD+F_30MGD)/12,0),0),IF(Q$2=Constr_30MGD,SUMIF(Full_Project,'Financial Summary (Future)'!$A$18,Full_Future)-$X19-$X20,0))</f>
        <v>0</v>
      </c>
      <c r="R21" s="35">
        <f>IF(CD_30MGD/12&gt;1,IF(OR(R$2=Constr_30MGD,AND(R$2&gt;Constr_30MGD,R$2&lt;=Constr_30MGD+CD_30MGD/12)),(SUMIF(Full_Project,'Financial Summary (Future)'!$A$18,Full_Future)-$X19-$X20)/ROUNDUP((CD_30MGD+F_30MGD)/12,0),0),IF(R$2=Constr_30MGD,SUMIF(Full_Project,'Financial Summary (Future)'!$A$18,Full_Future)-$X19-$X20,0))</f>
        <v>17030378.932834726</v>
      </c>
      <c r="S21" s="35">
        <f>IF(CD_30MGD/12&gt;1,IF(OR(S$2=Constr_30MGD,AND(S$2&gt;Constr_30MGD,S$2&lt;=Constr_30MGD+CD_30MGD/12)),(SUMIF(Full_Project,'Financial Summary (Future)'!$A$18,Full_Future)-$X19-$X20)/ROUNDUP((CD_30MGD+F_30MGD)/12,0),0),IF(S$2=Constr_30MGD,SUMIF(Full_Project,'Financial Summary (Future)'!$A$18,Full_Future)-$X19-$X20,0))</f>
        <v>17030378.932834726</v>
      </c>
      <c r="T21" s="35">
        <f>IF(CD_30MGD/12&gt;1,IF(OR(T$2=Constr_30MGD,AND(T$2&gt;Constr_30MGD,T$2&lt;=Constr_30MGD+CD_30MGD/12)),(SUMIF(Full_Project,'Financial Summary (Future)'!$A$18,Full_Future)-$X19-$X20)/ROUNDUP((CD_30MGD+F_30MGD)/12,0),0),IF(T$2=Constr_30MGD,SUMIF(Full_Project,'Financial Summary (Future)'!$A$18,Full_Future)-$X19-$X20,0))</f>
        <v>17030378.932834726</v>
      </c>
      <c r="U21" s="35">
        <f>IF(CD_30MGD/12&gt;1,IF(OR(U$2=Constr_30MGD,AND(U$2&gt;Constr_30MGD,U$2&lt;=Constr_30MGD+CD_30MGD/12)),(SUMIF(Full_Project,'Financial Summary (Future)'!$A$18,Full_Future)-$X19-$X20)/ROUNDUP((CD_30MGD+F_30MGD)/12,0),0),IF(U$2=Constr_30MGD,SUMIF(Full_Project,'Financial Summary (Future)'!$A$18,Full_Future)-$X19-$X20,0))</f>
        <v>0</v>
      </c>
      <c r="V21" s="35">
        <f>IF(CD_30MGD/12&gt;1,IF(OR(V$2=Constr_30MGD,AND(V$2&gt;Constr_30MGD,V$2&lt;=Constr_30MGD+CD_30MGD/12)),(SUMIF(Full_Project,'Financial Summary (Future)'!$A$18,Full_Future)-$X19-$X20)/ROUNDUP((CD_30MGD+F_30MGD)/12,0),0),IF(V$2=Constr_30MGD,SUMIF(Full_Project,'Financial Summary (Future)'!$A$18,Full_Future)-$X19-$X20,0))</f>
        <v>0</v>
      </c>
      <c r="W21" s="35">
        <f>IF(CD_30MGD/12&gt;1,IF(OR(W$2=Constr_30MGD,AND(W$2&gt;Constr_30MGD,W$2&lt;=Constr_30MGD+CD_30MGD/12)),(SUMIF(Full_Project,'Financial Summary (Future)'!$A$18,Full_Future)-$X19-$X20)/ROUNDUP((CD_30MGD+F_30MGD)/12,0),0),IF(W$2=Constr_30MGD,SUMIF(Full_Project,'Financial Summary (Future)'!$A$18,Full_Future)-$X19-$X20,0))</f>
        <v>0</v>
      </c>
      <c r="X21" s="150">
        <f t="shared" si="11"/>
        <v>51091136.798504174</v>
      </c>
    </row>
    <row r="22" spans="1:24" ht="13.8" x14ac:dyDescent="0.3">
      <c r="A22" s="32"/>
      <c r="B22" s="31" t="s">
        <v>4</v>
      </c>
      <c r="C22" s="33"/>
      <c r="D22" s="35">
        <f t="shared" ref="D22:W22" si="12">SUM(D19:D21)</f>
        <v>0</v>
      </c>
      <c r="E22" s="35">
        <f t="shared" si="12"/>
        <v>0</v>
      </c>
      <c r="F22" s="35">
        <f t="shared" si="12"/>
        <v>0</v>
      </c>
      <c r="G22" s="35">
        <f t="shared" si="12"/>
        <v>0</v>
      </c>
      <c r="H22" s="35">
        <f t="shared" si="12"/>
        <v>0</v>
      </c>
      <c r="I22" s="35">
        <f t="shared" si="12"/>
        <v>0</v>
      </c>
      <c r="J22" s="35">
        <f t="shared" si="12"/>
        <v>0</v>
      </c>
      <c r="K22" s="35">
        <f t="shared" si="12"/>
        <v>0</v>
      </c>
      <c r="L22" s="35">
        <f t="shared" si="12"/>
        <v>0</v>
      </c>
      <c r="M22" s="35">
        <f t="shared" si="12"/>
        <v>0</v>
      </c>
      <c r="N22" s="35">
        <f t="shared" si="12"/>
        <v>0</v>
      </c>
      <c r="O22" s="404">
        <f t="shared" si="12"/>
        <v>0</v>
      </c>
      <c r="P22" s="35">
        <f t="shared" si="12"/>
        <v>0</v>
      </c>
      <c r="Q22" s="35">
        <f t="shared" si="12"/>
        <v>8940948.9397382326</v>
      </c>
      <c r="R22" s="35">
        <f t="shared" si="12"/>
        <v>18307657.352797329</v>
      </c>
      <c r="S22" s="35">
        <f t="shared" si="12"/>
        <v>18307657.352797329</v>
      </c>
      <c r="T22" s="35">
        <f t="shared" si="12"/>
        <v>18307657.352797329</v>
      </c>
      <c r="U22" s="35">
        <f t="shared" si="12"/>
        <v>0</v>
      </c>
      <c r="V22" s="35">
        <f t="shared" si="12"/>
        <v>0</v>
      </c>
      <c r="W22" s="35">
        <f t="shared" si="12"/>
        <v>0</v>
      </c>
      <c r="X22" s="150">
        <f t="shared" si="11"/>
        <v>63863920.998130217</v>
      </c>
    </row>
    <row r="23" spans="1:24" ht="13.8" x14ac:dyDescent="0.3">
      <c r="A23" s="32" t="s">
        <v>96</v>
      </c>
      <c r="B23" s="85"/>
      <c r="C23" s="33"/>
      <c r="D23" s="35"/>
      <c r="E23" s="35"/>
      <c r="F23" s="35"/>
      <c r="G23" s="35"/>
      <c r="H23" s="35"/>
      <c r="I23" s="35"/>
      <c r="K23" s="35"/>
      <c r="L23" s="35"/>
      <c r="M23" s="35"/>
      <c r="N23" s="35"/>
      <c r="O23" s="404"/>
      <c r="P23" s="35"/>
      <c r="Q23" s="35"/>
      <c r="R23" s="35"/>
      <c r="S23" s="35"/>
      <c r="T23" s="35"/>
      <c r="U23" s="35"/>
      <c r="V23" s="35"/>
      <c r="W23" s="35"/>
      <c r="X23" s="150"/>
    </row>
    <row r="24" spans="1:24" ht="13.8" x14ac:dyDescent="0.3">
      <c r="A24" s="32"/>
      <c r="B24" s="31" t="s">
        <v>273</v>
      </c>
      <c r="C24" s="33"/>
      <c r="D24" s="35">
        <v>0</v>
      </c>
      <c r="E24" s="35">
        <v>0</v>
      </c>
      <c r="F24" s="35">
        <v>0</v>
      </c>
      <c r="G24" s="35">
        <v>0</v>
      </c>
      <c r="H24" s="35">
        <v>0</v>
      </c>
      <c r="I24" s="35">
        <v>0</v>
      </c>
      <c r="J24" s="35">
        <v>0</v>
      </c>
      <c r="K24" s="35">
        <v>0</v>
      </c>
      <c r="L24" s="35">
        <v>0</v>
      </c>
      <c r="M24" s="35">
        <v>0</v>
      </c>
      <c r="N24" s="35">
        <v>0</v>
      </c>
      <c r="O24" s="404">
        <v>0</v>
      </c>
      <c r="P24" s="35">
        <v>0</v>
      </c>
      <c r="Q24" s="35">
        <v>0</v>
      </c>
      <c r="R24" s="35">
        <v>0</v>
      </c>
      <c r="S24" s="35">
        <v>0</v>
      </c>
      <c r="T24" s="35">
        <v>0</v>
      </c>
      <c r="U24" s="35">
        <v>0</v>
      </c>
      <c r="V24" s="35">
        <v>0</v>
      </c>
      <c r="W24" s="35">
        <v>0</v>
      </c>
      <c r="X24" s="150">
        <f>SUM(D24:W24)</f>
        <v>0</v>
      </c>
    </row>
    <row r="25" spans="1:24" ht="13.8" x14ac:dyDescent="0.3">
      <c r="A25" s="32"/>
      <c r="B25" s="31" t="s">
        <v>272</v>
      </c>
      <c r="C25" s="33"/>
      <c r="D25" s="35">
        <f t="shared" ref="D25:W25" si="13">SUMIFS(Full_FutAd,Full_Project,$A$23,Full_Year,D$2)</f>
        <v>0</v>
      </c>
      <c r="E25" s="35">
        <f t="shared" si="13"/>
        <v>0</v>
      </c>
      <c r="F25" s="35">
        <f t="shared" si="13"/>
        <v>143869.81599</v>
      </c>
      <c r="G25" s="35">
        <f t="shared" si="13"/>
        <v>158149.39525569999</v>
      </c>
      <c r="H25" s="35">
        <f t="shared" si="13"/>
        <v>1280.2662713750001</v>
      </c>
      <c r="I25" s="35">
        <f t="shared" si="13"/>
        <v>360417.61413542542</v>
      </c>
      <c r="J25" s="35">
        <f t="shared" si="13"/>
        <v>1358.2344873017373</v>
      </c>
      <c r="K25" s="35">
        <f t="shared" si="13"/>
        <v>1398.9815219207894</v>
      </c>
      <c r="L25" s="35">
        <f t="shared" si="13"/>
        <v>1440.9509675784132</v>
      </c>
      <c r="M25" s="35">
        <f t="shared" si="13"/>
        <v>1484.1794966057655</v>
      </c>
      <c r="N25" s="35">
        <f t="shared" si="13"/>
        <v>636949.16799014655</v>
      </c>
      <c r="O25" s="404">
        <f t="shared" si="13"/>
        <v>1574.5660279490567</v>
      </c>
      <c r="P25" s="35">
        <f t="shared" si="13"/>
        <v>1621.8030087875281</v>
      </c>
      <c r="Q25" s="35">
        <f t="shared" si="13"/>
        <v>1670.4570990511538</v>
      </c>
      <c r="R25" s="35">
        <f t="shared" si="13"/>
        <v>1720.5708120226889</v>
      </c>
      <c r="S25" s="35">
        <f t="shared" si="13"/>
        <v>350756.88925495464</v>
      </c>
      <c r="T25" s="35">
        <f t="shared" si="13"/>
        <v>1825.3535744748704</v>
      </c>
      <c r="U25" s="35">
        <f t="shared" si="13"/>
        <v>1880.1141817091163</v>
      </c>
      <c r="V25" s="35">
        <f t="shared" si="13"/>
        <v>1936.5176071603901</v>
      </c>
      <c r="W25" s="35">
        <f t="shared" si="13"/>
        <v>541243.14026335825</v>
      </c>
      <c r="X25" s="150">
        <f t="shared" ref="X25:X27" si="14">SUM(D25:W25)</f>
        <v>2210578.0179455215</v>
      </c>
    </row>
    <row r="26" spans="1:24" ht="13.8" x14ac:dyDescent="0.3">
      <c r="A26" s="32"/>
      <c r="B26" s="85" t="s">
        <v>5</v>
      </c>
      <c r="C26" s="33"/>
      <c r="D26" s="35">
        <f t="shared" ref="D26:W26" si="15">SUMIFS(Full_Future,Full_Project,$A$23,Full_Year,D$2)-D25</f>
        <v>0</v>
      </c>
      <c r="E26" s="35">
        <f t="shared" si="15"/>
        <v>0</v>
      </c>
      <c r="F26" s="35">
        <f t="shared" si="15"/>
        <v>1438698.1599000001</v>
      </c>
      <c r="G26" s="35">
        <f t="shared" si="15"/>
        <v>1581493.9525570001</v>
      </c>
      <c r="H26" s="35">
        <f t="shared" si="15"/>
        <v>12802.66271375</v>
      </c>
      <c r="I26" s="35">
        <f t="shared" si="15"/>
        <v>3604176.1413542544</v>
      </c>
      <c r="J26" s="35">
        <f t="shared" si="15"/>
        <v>13582.344873017375</v>
      </c>
      <c r="K26" s="35">
        <f t="shared" si="15"/>
        <v>13989.815219207896</v>
      </c>
      <c r="L26" s="35">
        <f t="shared" si="15"/>
        <v>14409.509675784131</v>
      </c>
      <c r="M26" s="35">
        <f t="shared" si="15"/>
        <v>14841.794966057656</v>
      </c>
      <c r="N26" s="35">
        <f t="shared" si="15"/>
        <v>6369491.6799014667</v>
      </c>
      <c r="O26" s="404">
        <f t="shared" si="15"/>
        <v>15745.660279490568</v>
      </c>
      <c r="P26" s="35">
        <f t="shared" si="15"/>
        <v>16218.030087875284</v>
      </c>
      <c r="Q26" s="35">
        <f t="shared" si="15"/>
        <v>16704.57099051154</v>
      </c>
      <c r="R26" s="35">
        <f t="shared" si="15"/>
        <v>17205.708120226889</v>
      </c>
      <c r="S26" s="35">
        <f t="shared" si="15"/>
        <v>3507568.8925495455</v>
      </c>
      <c r="T26" s="35">
        <f t="shared" si="15"/>
        <v>18253.535744748704</v>
      </c>
      <c r="U26" s="35">
        <f t="shared" si="15"/>
        <v>18801.141817091167</v>
      </c>
      <c r="V26" s="35">
        <f t="shared" si="15"/>
        <v>19365.176071603903</v>
      </c>
      <c r="W26" s="35">
        <f t="shared" si="15"/>
        <v>5412431.4026335841</v>
      </c>
      <c r="X26" s="150">
        <f t="shared" si="14"/>
        <v>22105780.179455217</v>
      </c>
    </row>
    <row r="27" spans="1:24" ht="13.8" x14ac:dyDescent="0.3">
      <c r="A27" s="32"/>
      <c r="B27" s="85" t="s">
        <v>4</v>
      </c>
      <c r="C27" s="33"/>
      <c r="D27" s="35">
        <f t="shared" ref="D27:E27" si="16">SUM(D25:D26)</f>
        <v>0</v>
      </c>
      <c r="E27" s="35">
        <f t="shared" si="16"/>
        <v>0</v>
      </c>
      <c r="F27" s="35">
        <f t="shared" ref="F27:W27" si="17">SUM(F25:F26)</f>
        <v>1582567.9758900001</v>
      </c>
      <c r="G27" s="35">
        <f t="shared" si="17"/>
        <v>1739643.3478127001</v>
      </c>
      <c r="H27" s="35">
        <f t="shared" si="17"/>
        <v>14082.928985125</v>
      </c>
      <c r="I27" s="35">
        <f t="shared" si="17"/>
        <v>3964593.75548968</v>
      </c>
      <c r="J27" s="35">
        <f t="shared" si="17"/>
        <v>14940.579360319112</v>
      </c>
      <c r="K27" s="35">
        <f t="shared" si="17"/>
        <v>15388.796741128685</v>
      </c>
      <c r="L27" s="35">
        <f t="shared" si="17"/>
        <v>15850.460643362545</v>
      </c>
      <c r="M27" s="35">
        <f t="shared" si="17"/>
        <v>16325.974462663422</v>
      </c>
      <c r="N27" s="35">
        <f t="shared" si="17"/>
        <v>7006440.8478916129</v>
      </c>
      <c r="O27" s="404">
        <f t="shared" si="17"/>
        <v>17320.226307439625</v>
      </c>
      <c r="P27" s="35">
        <f t="shared" si="17"/>
        <v>17839.833096662813</v>
      </c>
      <c r="Q27" s="35">
        <f t="shared" si="17"/>
        <v>18375.028089562693</v>
      </c>
      <c r="R27" s="35">
        <f t="shared" si="17"/>
        <v>18926.278932249577</v>
      </c>
      <c r="S27" s="35">
        <f t="shared" si="17"/>
        <v>3858325.7818045001</v>
      </c>
      <c r="T27" s="35">
        <f t="shared" si="17"/>
        <v>20078.889319223574</v>
      </c>
      <c r="U27" s="35">
        <f t="shared" si="17"/>
        <v>20681.255998800283</v>
      </c>
      <c r="V27" s="35">
        <f t="shared" si="17"/>
        <v>21301.693678764292</v>
      </c>
      <c r="W27" s="35">
        <f t="shared" si="17"/>
        <v>5953674.5428969422</v>
      </c>
      <c r="X27" s="150">
        <f t="shared" si="14"/>
        <v>24316358.197400738</v>
      </c>
    </row>
    <row r="28" spans="1:24" ht="13.8" x14ac:dyDescent="0.3">
      <c r="A28" s="354" t="s">
        <v>4</v>
      </c>
      <c r="B28" s="355"/>
      <c r="C28" s="356"/>
      <c r="D28" s="356">
        <f>SUM(D7,D12,D17,D22,D27)</f>
        <v>0</v>
      </c>
      <c r="E28" s="356">
        <f t="shared" ref="E28:W28" si="18">SUM(E7,E12,E17,E22,E27)</f>
        <v>2596517.0673170942</v>
      </c>
      <c r="F28" s="356">
        <f t="shared" si="18"/>
        <v>9136072.1717215497</v>
      </c>
      <c r="G28" s="356">
        <f t="shared" si="18"/>
        <v>9539267.8635892533</v>
      </c>
      <c r="H28" s="356">
        <f t="shared" si="18"/>
        <v>1817581.3725010455</v>
      </c>
      <c r="I28" s="356">
        <f t="shared" si="18"/>
        <v>3964593.75548968</v>
      </c>
      <c r="J28" s="356">
        <f t="shared" si="18"/>
        <v>14940.579360319112</v>
      </c>
      <c r="K28" s="356">
        <f t="shared" si="18"/>
        <v>15388.796741128685</v>
      </c>
      <c r="L28" s="356">
        <f t="shared" si="18"/>
        <v>15850.460643362545</v>
      </c>
      <c r="M28" s="356">
        <f t="shared" si="18"/>
        <v>16325.974462663422</v>
      </c>
      <c r="N28" s="356">
        <f t="shared" si="18"/>
        <v>7006440.8478916129</v>
      </c>
      <c r="O28" s="405">
        <f t="shared" si="18"/>
        <v>17320.226307439625</v>
      </c>
      <c r="P28" s="356">
        <f t="shared" si="18"/>
        <v>17839.833096662813</v>
      </c>
      <c r="Q28" s="356">
        <f t="shared" si="18"/>
        <v>8959323.9678277951</v>
      </c>
      <c r="R28" s="356">
        <f t="shared" si="18"/>
        <v>18326583.63172958</v>
      </c>
      <c r="S28" s="356">
        <f t="shared" si="18"/>
        <v>22165983.134601831</v>
      </c>
      <c r="T28" s="356">
        <f t="shared" si="18"/>
        <v>18327736.242116552</v>
      </c>
      <c r="U28" s="356">
        <f t="shared" si="18"/>
        <v>20681.255998800283</v>
      </c>
      <c r="V28" s="356">
        <f t="shared" si="18"/>
        <v>21301.693678764292</v>
      </c>
      <c r="W28" s="356">
        <f t="shared" si="18"/>
        <v>5953674.5428969422</v>
      </c>
      <c r="X28" s="151">
        <f>X27+X17+X22+X12+X7</f>
        <v>107933423.41797206</v>
      </c>
    </row>
    <row r="29" spans="1:24" ht="13.8" x14ac:dyDescent="0.3">
      <c r="A29" s="32" t="s">
        <v>8</v>
      </c>
      <c r="B29" s="31"/>
      <c r="C29" s="264" t="s">
        <v>256</v>
      </c>
      <c r="D29" s="263"/>
      <c r="E29" s="263"/>
      <c r="F29" s="263"/>
      <c r="G29" s="35"/>
      <c r="H29" s="35"/>
      <c r="I29" s="35"/>
      <c r="J29" s="35"/>
      <c r="K29" s="35"/>
      <c r="L29" s="156"/>
      <c r="M29" s="156"/>
      <c r="N29" s="156"/>
      <c r="O29" s="406"/>
      <c r="P29" s="156"/>
      <c r="Q29" s="156"/>
      <c r="R29" s="156"/>
      <c r="S29" s="156"/>
      <c r="T29" s="156"/>
      <c r="U29" s="156"/>
      <c r="V29" s="156"/>
      <c r="W29" s="156"/>
      <c r="X29" s="152"/>
    </row>
    <row r="30" spans="1:24" ht="13.8" x14ac:dyDescent="0.3">
      <c r="A30" s="157"/>
      <c r="B30" s="158" t="s">
        <v>164</v>
      </c>
      <c r="C30" s="159"/>
      <c r="D30" s="160">
        <f t="shared" ref="D30:E30" si="19">SUM(D31:D35)</f>
        <v>0</v>
      </c>
      <c r="E30" s="160">
        <f t="shared" si="19"/>
        <v>1731876.883900502</v>
      </c>
      <c r="F30" s="160">
        <f t="shared" ref="F30:W30" si="20">SUM(F31:F35)</f>
        <v>6093760.138538274</v>
      </c>
      <c r="G30" s="160">
        <f t="shared" si="20"/>
        <v>6362691.6650140323</v>
      </c>
      <c r="H30" s="160">
        <f t="shared" si="20"/>
        <v>1212326.7754581976</v>
      </c>
      <c r="I30" s="160">
        <f t="shared" si="20"/>
        <v>2644384.0349116167</v>
      </c>
      <c r="J30" s="160">
        <f t="shared" si="20"/>
        <v>9965.3664333328488</v>
      </c>
      <c r="K30" s="160">
        <f t="shared" si="20"/>
        <v>10264.327426332833</v>
      </c>
      <c r="L30" s="160">
        <f t="shared" si="20"/>
        <v>10572.257249122818</v>
      </c>
      <c r="M30" s="160">
        <f t="shared" si="20"/>
        <v>10889.424966596504</v>
      </c>
      <c r="N30" s="160">
        <f t="shared" si="20"/>
        <v>4673296.045543706</v>
      </c>
      <c r="O30" s="407">
        <f t="shared" si="20"/>
        <v>11552.59094706223</v>
      </c>
      <c r="P30" s="160">
        <f t="shared" si="20"/>
        <v>11899.168675474097</v>
      </c>
      <c r="Q30" s="160">
        <f t="shared" si="20"/>
        <v>6065278.5759385228</v>
      </c>
      <c r="R30" s="160">
        <f t="shared" si="20"/>
        <v>12406907.855891602</v>
      </c>
      <c r="S30" s="160">
        <f t="shared" si="20"/>
        <v>14967787.324307393</v>
      </c>
      <c r="T30" s="160">
        <f t="shared" si="20"/>
        <v>12407676.647019714</v>
      </c>
      <c r="U30" s="160">
        <f t="shared" si="20"/>
        <v>13794.397751199789</v>
      </c>
      <c r="V30" s="160">
        <f t="shared" si="20"/>
        <v>14208.229683735783</v>
      </c>
      <c r="W30" s="160">
        <f t="shared" si="20"/>
        <v>3971100.9201122606</v>
      </c>
      <c r="X30" s="153">
        <f t="shared" ref="X30:X41" si="21">SUM(F30:W30)</f>
        <v>70898355.745868176</v>
      </c>
    </row>
    <row r="31" spans="1:24" ht="13.8" x14ac:dyDescent="0.3">
      <c r="A31" s="157"/>
      <c r="B31" s="161" t="s">
        <v>218</v>
      </c>
      <c r="C31" s="357">
        <f>COW_20MGD</f>
        <v>0.66700000000000004</v>
      </c>
      <c r="D31" s="162">
        <f t="shared" ref="D31:W31" si="22">D$7*$C$31</f>
        <v>0</v>
      </c>
      <c r="E31" s="162">
        <f t="shared" si="22"/>
        <v>1731876.883900502</v>
      </c>
      <c r="F31" s="162">
        <f t="shared" si="22"/>
        <v>5038187.2986196438</v>
      </c>
      <c r="G31" s="162">
        <f t="shared" si="22"/>
        <v>5038187.2986196438</v>
      </c>
      <c r="H31" s="162">
        <f t="shared" si="22"/>
        <v>0</v>
      </c>
      <c r="I31" s="162">
        <f t="shared" si="22"/>
        <v>0</v>
      </c>
      <c r="J31" s="162">
        <f t="shared" si="22"/>
        <v>0</v>
      </c>
      <c r="K31" s="162">
        <f t="shared" si="22"/>
        <v>0</v>
      </c>
      <c r="L31" s="162">
        <f t="shared" si="22"/>
        <v>0</v>
      </c>
      <c r="M31" s="162">
        <f t="shared" si="22"/>
        <v>0</v>
      </c>
      <c r="N31" s="162">
        <f t="shared" si="22"/>
        <v>0</v>
      </c>
      <c r="O31" s="408">
        <f t="shared" si="22"/>
        <v>0</v>
      </c>
      <c r="P31" s="162">
        <f t="shared" si="22"/>
        <v>0</v>
      </c>
      <c r="Q31" s="162">
        <f t="shared" si="22"/>
        <v>0</v>
      </c>
      <c r="R31" s="162">
        <f t="shared" si="22"/>
        <v>0</v>
      </c>
      <c r="S31" s="162">
        <f t="shared" si="22"/>
        <v>0</v>
      </c>
      <c r="T31" s="162">
        <f t="shared" si="22"/>
        <v>0</v>
      </c>
      <c r="U31" s="162">
        <f t="shared" si="22"/>
        <v>0</v>
      </c>
      <c r="V31" s="162">
        <f t="shared" si="22"/>
        <v>0</v>
      </c>
      <c r="W31" s="162">
        <f t="shared" si="22"/>
        <v>0</v>
      </c>
      <c r="X31" s="154">
        <f t="shared" si="21"/>
        <v>10076374.597239288</v>
      </c>
    </row>
    <row r="32" spans="1:24" ht="13.8" x14ac:dyDescent="0.3">
      <c r="A32" s="157"/>
      <c r="B32" s="161" t="s">
        <v>163</v>
      </c>
      <c r="C32" s="357">
        <f>COW_Safety</f>
        <v>0.66700000000000004</v>
      </c>
      <c r="D32" s="162">
        <f t="shared" ref="D32:E32" si="23">D$12*$C$32</f>
        <v>0</v>
      </c>
      <c r="E32" s="162">
        <f t="shared" si="23"/>
        <v>0</v>
      </c>
      <c r="F32" s="162">
        <f t="shared" ref="F32:W32" si="24">F$12*$C$32</f>
        <v>0</v>
      </c>
      <c r="G32" s="162">
        <f t="shared" si="24"/>
        <v>21655.976600489328</v>
      </c>
      <c r="H32" s="162">
        <f t="shared" si="24"/>
        <v>454775.50861027598</v>
      </c>
      <c r="I32" s="162">
        <f t="shared" si="24"/>
        <v>0</v>
      </c>
      <c r="J32" s="162">
        <f t="shared" si="24"/>
        <v>0</v>
      </c>
      <c r="K32" s="162">
        <f t="shared" si="24"/>
        <v>0</v>
      </c>
      <c r="L32" s="162">
        <f t="shared" si="24"/>
        <v>0</v>
      </c>
      <c r="M32" s="162">
        <f t="shared" si="24"/>
        <v>0</v>
      </c>
      <c r="N32" s="162">
        <f t="shared" si="24"/>
        <v>0</v>
      </c>
      <c r="O32" s="408">
        <f t="shared" si="24"/>
        <v>0</v>
      </c>
      <c r="P32" s="162">
        <f t="shared" si="24"/>
        <v>0</v>
      </c>
      <c r="Q32" s="162">
        <f t="shared" si="24"/>
        <v>0</v>
      </c>
      <c r="R32" s="162">
        <f t="shared" si="24"/>
        <v>0</v>
      </c>
      <c r="S32" s="162">
        <f t="shared" si="24"/>
        <v>0</v>
      </c>
      <c r="T32" s="162">
        <f t="shared" si="24"/>
        <v>0</v>
      </c>
      <c r="U32" s="162">
        <f t="shared" si="24"/>
        <v>0</v>
      </c>
      <c r="V32" s="162">
        <f t="shared" si="24"/>
        <v>0</v>
      </c>
      <c r="W32" s="162">
        <f t="shared" si="24"/>
        <v>0</v>
      </c>
      <c r="X32" s="154">
        <f t="shared" si="21"/>
        <v>476431.48521076533</v>
      </c>
    </row>
    <row r="33" spans="1:24" ht="13.8" x14ac:dyDescent="0.3">
      <c r="A33" s="157"/>
      <c r="B33" s="161" t="s">
        <v>138</v>
      </c>
      <c r="C33" s="357">
        <f>COW_Seismic</f>
        <v>0.66700000000000004</v>
      </c>
      <c r="D33" s="162">
        <f t="shared" ref="D33:E33" si="25">D$17*$C$33</f>
        <v>0</v>
      </c>
      <c r="E33" s="162">
        <f t="shared" si="25"/>
        <v>0</v>
      </c>
      <c r="F33" s="162">
        <f t="shared" ref="F33:W33" si="26">F$17*$C$33</f>
        <v>0</v>
      </c>
      <c r="G33" s="162">
        <f t="shared" si="26"/>
        <v>142506.27680282725</v>
      </c>
      <c r="H33" s="162">
        <f t="shared" si="26"/>
        <v>748157.95321484306</v>
      </c>
      <c r="I33" s="162">
        <f t="shared" si="26"/>
        <v>0</v>
      </c>
      <c r="J33" s="162">
        <f t="shared" si="26"/>
        <v>0</v>
      </c>
      <c r="K33" s="162">
        <f t="shared" si="26"/>
        <v>0</v>
      </c>
      <c r="L33" s="162">
        <f t="shared" si="26"/>
        <v>0</v>
      </c>
      <c r="M33" s="162">
        <f t="shared" si="26"/>
        <v>0</v>
      </c>
      <c r="N33" s="162">
        <f t="shared" si="26"/>
        <v>0</v>
      </c>
      <c r="O33" s="408">
        <f t="shared" si="26"/>
        <v>0</v>
      </c>
      <c r="P33" s="162">
        <f t="shared" si="26"/>
        <v>0</v>
      </c>
      <c r="Q33" s="162">
        <f t="shared" si="26"/>
        <v>0</v>
      </c>
      <c r="R33" s="162">
        <f t="shared" si="26"/>
        <v>0</v>
      </c>
      <c r="S33" s="162">
        <f t="shared" si="26"/>
        <v>0</v>
      </c>
      <c r="T33" s="162">
        <f t="shared" si="26"/>
        <v>0</v>
      </c>
      <c r="U33" s="162">
        <f t="shared" si="26"/>
        <v>0</v>
      </c>
      <c r="V33" s="162">
        <f t="shared" si="26"/>
        <v>0</v>
      </c>
      <c r="W33" s="162">
        <f t="shared" si="26"/>
        <v>0</v>
      </c>
      <c r="X33" s="154">
        <f>SUM(F33:W33)</f>
        <v>890664.23001767031</v>
      </c>
    </row>
    <row r="34" spans="1:24" ht="13.8" x14ac:dyDescent="0.3">
      <c r="A34" s="157"/>
      <c r="B34" s="161" t="s">
        <v>219</v>
      </c>
      <c r="C34" s="357">
        <f>COW_30MGD</f>
        <v>0.67700000000000005</v>
      </c>
      <c r="D34" s="162">
        <f t="shared" ref="D34:E34" si="27">D$22*$C$34</f>
        <v>0</v>
      </c>
      <c r="E34" s="162">
        <f t="shared" si="27"/>
        <v>0</v>
      </c>
      <c r="F34" s="162">
        <f t="shared" ref="F34:W34" si="28">F$22*$C$34</f>
        <v>0</v>
      </c>
      <c r="G34" s="162">
        <f t="shared" si="28"/>
        <v>0</v>
      </c>
      <c r="H34" s="162">
        <f t="shared" si="28"/>
        <v>0</v>
      </c>
      <c r="I34" s="162">
        <f t="shared" si="28"/>
        <v>0</v>
      </c>
      <c r="J34" s="162">
        <f t="shared" si="28"/>
        <v>0</v>
      </c>
      <c r="K34" s="162">
        <f t="shared" si="28"/>
        <v>0</v>
      </c>
      <c r="L34" s="162">
        <f t="shared" si="28"/>
        <v>0</v>
      </c>
      <c r="M34" s="162">
        <f t="shared" si="28"/>
        <v>0</v>
      </c>
      <c r="N34" s="162">
        <f t="shared" si="28"/>
        <v>0</v>
      </c>
      <c r="O34" s="408">
        <f t="shared" si="28"/>
        <v>0</v>
      </c>
      <c r="P34" s="162">
        <f t="shared" si="28"/>
        <v>0</v>
      </c>
      <c r="Q34" s="162">
        <f t="shared" si="28"/>
        <v>6053022.4322027843</v>
      </c>
      <c r="R34" s="162">
        <f t="shared" si="28"/>
        <v>12394284.027843792</v>
      </c>
      <c r="S34" s="162">
        <f t="shared" si="28"/>
        <v>12394284.027843792</v>
      </c>
      <c r="T34" s="162">
        <f t="shared" si="28"/>
        <v>12394284.027843792</v>
      </c>
      <c r="U34" s="162">
        <f t="shared" si="28"/>
        <v>0</v>
      </c>
      <c r="V34" s="162">
        <f t="shared" si="28"/>
        <v>0</v>
      </c>
      <c r="W34" s="162">
        <f t="shared" si="28"/>
        <v>0</v>
      </c>
      <c r="X34" s="154">
        <f t="shared" si="21"/>
        <v>43235874.515734158</v>
      </c>
    </row>
    <row r="35" spans="1:24" ht="13.8" x14ac:dyDescent="0.3">
      <c r="A35" s="157"/>
      <c r="B35" s="161" t="s">
        <v>96</v>
      </c>
      <c r="C35" s="357">
        <f>COW_RR</f>
        <v>0.66700000000000004</v>
      </c>
      <c r="D35" s="162">
        <f t="shared" ref="D35:E35" si="29">D$27*$C$35</f>
        <v>0</v>
      </c>
      <c r="E35" s="162">
        <f t="shared" si="29"/>
        <v>0</v>
      </c>
      <c r="F35" s="162">
        <f t="shared" ref="F35:W35" si="30">F$27*$C$35</f>
        <v>1055572.8399186302</v>
      </c>
      <c r="G35" s="162">
        <f t="shared" si="30"/>
        <v>1160342.1129910711</v>
      </c>
      <c r="H35" s="162">
        <f t="shared" si="30"/>
        <v>9393.3136330783746</v>
      </c>
      <c r="I35" s="162">
        <f t="shared" si="30"/>
        <v>2644384.0349116167</v>
      </c>
      <c r="J35" s="162">
        <f t="shared" si="30"/>
        <v>9965.3664333328488</v>
      </c>
      <c r="K35" s="162">
        <f t="shared" si="30"/>
        <v>10264.327426332833</v>
      </c>
      <c r="L35" s="162">
        <f t="shared" si="30"/>
        <v>10572.257249122818</v>
      </c>
      <c r="M35" s="162">
        <f t="shared" si="30"/>
        <v>10889.424966596504</v>
      </c>
      <c r="N35" s="162">
        <f t="shared" si="30"/>
        <v>4673296.045543706</v>
      </c>
      <c r="O35" s="408">
        <f t="shared" si="30"/>
        <v>11552.59094706223</v>
      </c>
      <c r="P35" s="162">
        <f t="shared" si="30"/>
        <v>11899.168675474097</v>
      </c>
      <c r="Q35" s="162">
        <f t="shared" si="30"/>
        <v>12256.143735738317</v>
      </c>
      <c r="R35" s="162">
        <f t="shared" si="30"/>
        <v>12623.828047810468</v>
      </c>
      <c r="S35" s="162">
        <f t="shared" si="30"/>
        <v>2573503.2964636018</v>
      </c>
      <c r="T35" s="162">
        <f t="shared" si="30"/>
        <v>13392.619175922124</v>
      </c>
      <c r="U35" s="162">
        <f t="shared" si="30"/>
        <v>13794.397751199789</v>
      </c>
      <c r="V35" s="162">
        <f t="shared" si="30"/>
        <v>14208.229683735783</v>
      </c>
      <c r="W35" s="162">
        <f t="shared" si="30"/>
        <v>3971100.9201122606</v>
      </c>
      <c r="X35" s="154">
        <f t="shared" si="21"/>
        <v>16219010.91766629</v>
      </c>
    </row>
    <row r="36" spans="1:24" ht="13.8" x14ac:dyDescent="0.3">
      <c r="A36" s="157"/>
      <c r="B36" s="158" t="s">
        <v>165</v>
      </c>
      <c r="C36" s="358"/>
      <c r="D36" s="160">
        <f t="shared" ref="D36:E36" si="31">SUM(D37:D41)</f>
        <v>0</v>
      </c>
      <c r="E36" s="160">
        <f t="shared" si="31"/>
        <v>864640.18341659231</v>
      </c>
      <c r="F36" s="160">
        <f t="shared" ref="F36:W36" si="32">SUM(F37:F41)</f>
        <v>3042312.0331832757</v>
      </c>
      <c r="G36" s="160">
        <f t="shared" si="32"/>
        <v>3176576.1985752201</v>
      </c>
      <c r="H36" s="160">
        <f t="shared" si="32"/>
        <v>605254.59704284812</v>
      </c>
      <c r="I36" s="160">
        <f t="shared" si="32"/>
        <v>1320209.7205780633</v>
      </c>
      <c r="J36" s="160">
        <f t="shared" si="32"/>
        <v>4975.2129269862635</v>
      </c>
      <c r="K36" s="160">
        <f t="shared" si="32"/>
        <v>5124.4693147958515</v>
      </c>
      <c r="L36" s="160">
        <f t="shared" si="32"/>
        <v>5278.2033942397265</v>
      </c>
      <c r="M36" s="160">
        <f t="shared" si="32"/>
        <v>5436.5494960669193</v>
      </c>
      <c r="N36" s="160">
        <f t="shared" si="32"/>
        <v>2333144.8023479069</v>
      </c>
      <c r="O36" s="407">
        <f t="shared" si="32"/>
        <v>5767.6353603773941</v>
      </c>
      <c r="P36" s="160">
        <f t="shared" si="32"/>
        <v>5940.664421188716</v>
      </c>
      <c r="Q36" s="160">
        <f t="shared" si="32"/>
        <v>2894045.3918892732</v>
      </c>
      <c r="R36" s="160">
        <f t="shared" si="32"/>
        <v>5919675.7758379756</v>
      </c>
      <c r="S36" s="160">
        <f t="shared" si="32"/>
        <v>7198195.8102944344</v>
      </c>
      <c r="T36" s="160">
        <f t="shared" si="32"/>
        <v>5920059.5950968377</v>
      </c>
      <c r="U36" s="160">
        <f t="shared" si="32"/>
        <v>6886.8582476004931</v>
      </c>
      <c r="V36" s="160">
        <f t="shared" si="32"/>
        <v>7093.4639950285082</v>
      </c>
      <c r="W36" s="160">
        <f t="shared" si="32"/>
        <v>1982573.6227846816</v>
      </c>
      <c r="X36" s="153">
        <f t="shared" si="21"/>
        <v>34438550.604786798</v>
      </c>
    </row>
    <row r="37" spans="1:24" ht="13.8" x14ac:dyDescent="0.3">
      <c r="A37" s="157"/>
      <c r="B37" s="161" t="s">
        <v>218</v>
      </c>
      <c r="C37" s="357">
        <f>COS_20MGD</f>
        <v>0.33299999999999996</v>
      </c>
      <c r="D37" s="162">
        <f t="shared" ref="D37:E37" si="33">D$7*$C$37</f>
        <v>0</v>
      </c>
      <c r="E37" s="162">
        <f t="shared" si="33"/>
        <v>864640.18341659231</v>
      </c>
      <c r="F37" s="162">
        <f t="shared" ref="F37:W37" si="34">F$7*$C$37</f>
        <v>2515316.8972119056</v>
      </c>
      <c r="G37" s="162">
        <f t="shared" si="34"/>
        <v>2515316.8972119056</v>
      </c>
      <c r="H37" s="162">
        <f t="shared" si="34"/>
        <v>0</v>
      </c>
      <c r="I37" s="162">
        <f t="shared" si="34"/>
        <v>0</v>
      </c>
      <c r="J37" s="162">
        <f t="shared" si="34"/>
        <v>0</v>
      </c>
      <c r="K37" s="162">
        <f t="shared" si="34"/>
        <v>0</v>
      </c>
      <c r="L37" s="162">
        <f t="shared" si="34"/>
        <v>0</v>
      </c>
      <c r="M37" s="162">
        <f t="shared" si="34"/>
        <v>0</v>
      </c>
      <c r="N37" s="162">
        <f t="shared" si="34"/>
        <v>0</v>
      </c>
      <c r="O37" s="408">
        <f t="shared" si="34"/>
        <v>0</v>
      </c>
      <c r="P37" s="162">
        <f t="shared" si="34"/>
        <v>0</v>
      </c>
      <c r="Q37" s="162">
        <f t="shared" si="34"/>
        <v>0</v>
      </c>
      <c r="R37" s="162">
        <f t="shared" si="34"/>
        <v>0</v>
      </c>
      <c r="S37" s="162">
        <f t="shared" si="34"/>
        <v>0</v>
      </c>
      <c r="T37" s="162">
        <f t="shared" si="34"/>
        <v>0</v>
      </c>
      <c r="U37" s="162">
        <f t="shared" si="34"/>
        <v>0</v>
      </c>
      <c r="V37" s="162">
        <f t="shared" si="34"/>
        <v>0</v>
      </c>
      <c r="W37" s="162">
        <f t="shared" si="34"/>
        <v>0</v>
      </c>
      <c r="X37" s="154">
        <f t="shared" si="21"/>
        <v>5030633.7944238111</v>
      </c>
    </row>
    <row r="38" spans="1:24" ht="13.8" x14ac:dyDescent="0.3">
      <c r="A38" s="157"/>
      <c r="B38" s="161" t="s">
        <v>163</v>
      </c>
      <c r="C38" s="357">
        <f>COS_Safety</f>
        <v>0.33299999999999996</v>
      </c>
      <c r="D38" s="162">
        <f t="shared" ref="D38:E38" si="35">D$12*$C$38</f>
        <v>0</v>
      </c>
      <c r="E38" s="162">
        <f t="shared" si="35"/>
        <v>0</v>
      </c>
      <c r="F38" s="162">
        <f t="shared" ref="F38:W38" si="36">F$12*$C$38</f>
        <v>0</v>
      </c>
      <c r="G38" s="162">
        <f t="shared" si="36"/>
        <v>10811.754434727054</v>
      </c>
      <c r="H38" s="162">
        <f t="shared" si="36"/>
        <v>227046.84312926818</v>
      </c>
      <c r="I38" s="162">
        <f t="shared" si="36"/>
        <v>0</v>
      </c>
      <c r="J38" s="162">
        <f t="shared" si="36"/>
        <v>0</v>
      </c>
      <c r="K38" s="162">
        <f t="shared" si="36"/>
        <v>0</v>
      </c>
      <c r="L38" s="162">
        <f t="shared" si="36"/>
        <v>0</v>
      </c>
      <c r="M38" s="162">
        <f t="shared" si="36"/>
        <v>0</v>
      </c>
      <c r="N38" s="162">
        <f t="shared" si="36"/>
        <v>0</v>
      </c>
      <c r="O38" s="408">
        <f t="shared" si="36"/>
        <v>0</v>
      </c>
      <c r="P38" s="162">
        <f t="shared" si="36"/>
        <v>0</v>
      </c>
      <c r="Q38" s="162">
        <f t="shared" si="36"/>
        <v>0</v>
      </c>
      <c r="R38" s="162">
        <f t="shared" si="36"/>
        <v>0</v>
      </c>
      <c r="S38" s="162">
        <f t="shared" si="36"/>
        <v>0</v>
      </c>
      <c r="T38" s="162">
        <f t="shared" si="36"/>
        <v>0</v>
      </c>
      <c r="U38" s="162">
        <f t="shared" si="36"/>
        <v>0</v>
      </c>
      <c r="V38" s="162">
        <f t="shared" si="36"/>
        <v>0</v>
      </c>
      <c r="W38" s="162">
        <f t="shared" si="36"/>
        <v>0</v>
      </c>
      <c r="X38" s="154">
        <f t="shared" si="21"/>
        <v>237858.59756399522</v>
      </c>
    </row>
    <row r="39" spans="1:24" ht="13.8" x14ac:dyDescent="0.3">
      <c r="A39" s="157"/>
      <c r="B39" s="161" t="s">
        <v>138</v>
      </c>
      <c r="C39" s="357">
        <f>COS_Seismic</f>
        <v>0.33299999999999996</v>
      </c>
      <c r="D39" s="162">
        <f t="shared" ref="D39:E39" si="37">D$17*$C$39</f>
        <v>0</v>
      </c>
      <c r="E39" s="162">
        <f t="shared" si="37"/>
        <v>0</v>
      </c>
      <c r="F39" s="162">
        <f t="shared" ref="F39:W39" si="38">F$17*$C$39</f>
        <v>0</v>
      </c>
      <c r="G39" s="162">
        <f t="shared" si="38"/>
        <v>71146.312106958721</v>
      </c>
      <c r="H39" s="162">
        <f t="shared" si="38"/>
        <v>373518.1385615333</v>
      </c>
      <c r="I39" s="162">
        <f t="shared" si="38"/>
        <v>0</v>
      </c>
      <c r="J39" s="162">
        <f t="shared" si="38"/>
        <v>0</v>
      </c>
      <c r="K39" s="162">
        <f t="shared" si="38"/>
        <v>0</v>
      </c>
      <c r="L39" s="162">
        <f t="shared" si="38"/>
        <v>0</v>
      </c>
      <c r="M39" s="162">
        <f t="shared" si="38"/>
        <v>0</v>
      </c>
      <c r="N39" s="162">
        <f t="shared" si="38"/>
        <v>0</v>
      </c>
      <c r="O39" s="408">
        <f t="shared" si="38"/>
        <v>0</v>
      </c>
      <c r="P39" s="162">
        <f t="shared" si="38"/>
        <v>0</v>
      </c>
      <c r="Q39" s="162">
        <f t="shared" si="38"/>
        <v>0</v>
      </c>
      <c r="R39" s="162">
        <f t="shared" si="38"/>
        <v>0</v>
      </c>
      <c r="S39" s="162">
        <f t="shared" si="38"/>
        <v>0</v>
      </c>
      <c r="T39" s="162">
        <f t="shared" si="38"/>
        <v>0</v>
      </c>
      <c r="U39" s="162">
        <f t="shared" si="38"/>
        <v>0</v>
      </c>
      <c r="V39" s="162">
        <f t="shared" si="38"/>
        <v>0</v>
      </c>
      <c r="W39" s="162">
        <f t="shared" si="38"/>
        <v>0</v>
      </c>
      <c r="X39" s="154">
        <f>SUM(F39:W39)</f>
        <v>444664.45066849201</v>
      </c>
    </row>
    <row r="40" spans="1:24" ht="13.8" x14ac:dyDescent="0.3">
      <c r="A40" s="157"/>
      <c r="B40" s="161" t="s">
        <v>219</v>
      </c>
      <c r="C40" s="357">
        <f>COS_30MGD</f>
        <v>0.32299999999999995</v>
      </c>
      <c r="D40" s="162">
        <f t="shared" ref="D40:E40" si="39">D$22*$C$40</f>
        <v>0</v>
      </c>
      <c r="E40" s="162">
        <f t="shared" si="39"/>
        <v>0</v>
      </c>
      <c r="F40" s="162">
        <f t="shared" ref="F40:W40" si="40">F$22*$C$40</f>
        <v>0</v>
      </c>
      <c r="G40" s="162">
        <f t="shared" si="40"/>
        <v>0</v>
      </c>
      <c r="H40" s="162">
        <f t="shared" si="40"/>
        <v>0</v>
      </c>
      <c r="I40" s="162">
        <f t="shared" si="40"/>
        <v>0</v>
      </c>
      <c r="J40" s="162">
        <f t="shared" si="40"/>
        <v>0</v>
      </c>
      <c r="K40" s="162">
        <f t="shared" si="40"/>
        <v>0</v>
      </c>
      <c r="L40" s="162">
        <f t="shared" si="40"/>
        <v>0</v>
      </c>
      <c r="M40" s="162">
        <f t="shared" si="40"/>
        <v>0</v>
      </c>
      <c r="N40" s="162">
        <f t="shared" si="40"/>
        <v>0</v>
      </c>
      <c r="O40" s="408">
        <f t="shared" si="40"/>
        <v>0</v>
      </c>
      <c r="P40" s="162">
        <f t="shared" si="40"/>
        <v>0</v>
      </c>
      <c r="Q40" s="162">
        <f t="shared" si="40"/>
        <v>2887926.5075354488</v>
      </c>
      <c r="R40" s="162">
        <f t="shared" si="40"/>
        <v>5913373.3249535365</v>
      </c>
      <c r="S40" s="162">
        <f t="shared" si="40"/>
        <v>5913373.3249535365</v>
      </c>
      <c r="T40" s="162">
        <f t="shared" si="40"/>
        <v>5913373.3249535365</v>
      </c>
      <c r="U40" s="162">
        <f t="shared" si="40"/>
        <v>0</v>
      </c>
      <c r="V40" s="162">
        <f t="shared" si="40"/>
        <v>0</v>
      </c>
      <c r="W40" s="162">
        <f t="shared" si="40"/>
        <v>0</v>
      </c>
      <c r="X40" s="154">
        <f t="shared" si="21"/>
        <v>20628046.482396059</v>
      </c>
    </row>
    <row r="41" spans="1:24" ht="13.8" x14ac:dyDescent="0.3">
      <c r="A41" s="163"/>
      <c r="B41" s="161" t="s">
        <v>96</v>
      </c>
      <c r="C41" s="357">
        <f>COS_RR</f>
        <v>0.33299999999999996</v>
      </c>
      <c r="D41" s="164">
        <f t="shared" ref="D41:E41" si="41">D$27*$C$41</f>
        <v>0</v>
      </c>
      <c r="E41" s="164">
        <f t="shared" si="41"/>
        <v>0</v>
      </c>
      <c r="F41" s="164">
        <f t="shared" ref="F41:W41" si="42">F$27*$C$41</f>
        <v>526995.13597137004</v>
      </c>
      <c r="G41" s="164">
        <f t="shared" si="42"/>
        <v>579301.23482162901</v>
      </c>
      <c r="H41" s="164">
        <f t="shared" si="42"/>
        <v>4689.6153520466241</v>
      </c>
      <c r="I41" s="164">
        <f t="shared" si="42"/>
        <v>1320209.7205780633</v>
      </c>
      <c r="J41" s="164">
        <f t="shared" si="42"/>
        <v>4975.2129269862635</v>
      </c>
      <c r="K41" s="164">
        <f t="shared" si="42"/>
        <v>5124.4693147958515</v>
      </c>
      <c r="L41" s="164">
        <f t="shared" si="42"/>
        <v>5278.2033942397265</v>
      </c>
      <c r="M41" s="164">
        <f t="shared" si="42"/>
        <v>5436.5494960669193</v>
      </c>
      <c r="N41" s="164">
        <f t="shared" si="42"/>
        <v>2333144.8023479069</v>
      </c>
      <c r="O41" s="409">
        <f t="shared" si="42"/>
        <v>5767.6353603773941</v>
      </c>
      <c r="P41" s="164">
        <f t="shared" si="42"/>
        <v>5940.664421188716</v>
      </c>
      <c r="Q41" s="164">
        <f t="shared" si="42"/>
        <v>6118.8843538243764</v>
      </c>
      <c r="R41" s="164">
        <f t="shared" si="42"/>
        <v>6302.4508844391084</v>
      </c>
      <c r="S41" s="164">
        <f t="shared" si="42"/>
        <v>1284822.4853408984</v>
      </c>
      <c r="T41" s="164">
        <f t="shared" si="42"/>
        <v>6686.270143301449</v>
      </c>
      <c r="U41" s="164">
        <f t="shared" si="42"/>
        <v>6886.8582476004931</v>
      </c>
      <c r="V41" s="164">
        <f t="shared" si="42"/>
        <v>7093.4639950285082</v>
      </c>
      <c r="W41" s="164">
        <f t="shared" si="42"/>
        <v>1982573.6227846816</v>
      </c>
      <c r="X41" s="155">
        <f t="shared" si="21"/>
        <v>8097347.2797344448</v>
      </c>
    </row>
    <row r="42" spans="1:24" x14ac:dyDescent="0.25">
      <c r="A42" s="239" t="s">
        <v>250</v>
      </c>
      <c r="B42" s="240"/>
      <c r="C42" s="240"/>
      <c r="D42" s="240"/>
      <c r="E42" s="240"/>
      <c r="F42" s="240"/>
      <c r="G42" s="240"/>
      <c r="H42" s="240"/>
      <c r="I42" s="240"/>
      <c r="J42" s="240"/>
      <c r="K42" s="240"/>
      <c r="L42" s="240"/>
      <c r="M42" s="240"/>
      <c r="N42" s="240"/>
      <c r="O42" s="241"/>
      <c r="P42" s="240"/>
      <c r="Q42" s="240"/>
      <c r="R42" s="240"/>
      <c r="S42" s="240"/>
      <c r="T42" s="240"/>
      <c r="U42" s="240"/>
      <c r="V42" s="240"/>
      <c r="W42" s="240"/>
      <c r="X42" s="241"/>
    </row>
    <row r="43" spans="1:24" x14ac:dyDescent="0.25">
      <c r="A43" s="157">
        <v>1</v>
      </c>
      <c r="B43" s="31" t="s">
        <v>354</v>
      </c>
      <c r="C43" s="31"/>
      <c r="D43" s="31"/>
      <c r="E43" s="31"/>
      <c r="F43" s="31"/>
      <c r="G43" s="31"/>
      <c r="H43" s="31"/>
      <c r="I43" s="31"/>
      <c r="J43" s="31"/>
      <c r="K43" s="31"/>
      <c r="L43" s="31"/>
      <c r="M43" s="31"/>
      <c r="N43" s="31"/>
      <c r="O43" s="242"/>
      <c r="P43" s="31"/>
      <c r="Q43" s="31"/>
      <c r="R43" s="31"/>
      <c r="S43" s="31"/>
      <c r="T43" s="31"/>
      <c r="U43" s="31"/>
      <c r="V43" s="31"/>
      <c r="W43" s="31"/>
      <c r="X43" s="242"/>
    </row>
    <row r="44" spans="1:24" x14ac:dyDescent="0.25">
      <c r="A44" s="163">
        <v>2</v>
      </c>
      <c r="B44" s="243" t="s">
        <v>251</v>
      </c>
      <c r="C44" s="243"/>
      <c r="D44" s="243"/>
      <c r="E44" s="243"/>
      <c r="F44" s="243"/>
      <c r="G44" s="243"/>
      <c r="H44" s="243"/>
      <c r="I44" s="243"/>
      <c r="J44" s="243"/>
      <c r="K44" s="243"/>
      <c r="L44" s="243"/>
      <c r="M44" s="243"/>
      <c r="N44" s="243"/>
      <c r="O44" s="244"/>
      <c r="P44" s="243"/>
      <c r="Q44" s="243"/>
      <c r="R44" s="243"/>
      <c r="S44" s="243"/>
      <c r="T44" s="243"/>
      <c r="U44" s="243"/>
      <c r="V44" s="243"/>
      <c r="W44" s="243"/>
      <c r="X44" s="244"/>
    </row>
  </sheetData>
  <sheetProtection algorithmName="SHA-512" hashValue="765mdBxFIvdesO7Ypa8Z1xU45/kowvEay1uaIKCKMUrHfuvgv4BC4qKBj4VPrWnOx6trNpmbzBfN0LWxk8/2XQ==" saltValue="aZRyCgJmxxbYjhJmurVKWQ==" spinCount="100000" sheet="1" objects="1" scenarios="1"/>
  <conditionalFormatting sqref="G12:W12 K22:W23 F23:I23 F13:W13 D7:E7 F7:W8 F17:W18 D17:E17 D22:F22 D27:W27">
    <cfRule type="cellIs" dxfId="10" priority="29" stopIfTrue="1" operator="greaterThan">
      <formula>0</formula>
    </cfRule>
  </conditionalFormatting>
  <conditionalFormatting sqref="G22:J22">
    <cfRule type="cellIs" dxfId="9" priority="26" stopIfTrue="1" operator="greaterThan">
      <formula>0</formula>
    </cfRule>
  </conditionalFormatting>
  <conditionalFormatting sqref="D12:F12">
    <cfRule type="cellIs" dxfId="8" priority="24" stopIfTrue="1" operator="greaterThan">
      <formula>0</formula>
    </cfRule>
  </conditionalFormatting>
  <conditionalFormatting sqref="D4:W5">
    <cfRule type="cellIs" dxfId="7" priority="11" stopIfTrue="1" operator="greaterThan">
      <formula>0</formula>
    </cfRule>
  </conditionalFormatting>
  <conditionalFormatting sqref="E13 E8 E18 E23">
    <cfRule type="cellIs" dxfId="6" priority="16" stopIfTrue="1" operator="greaterThan">
      <formula>0</formula>
    </cfRule>
  </conditionalFormatting>
  <conditionalFormatting sqref="D15:W16">
    <cfRule type="cellIs" dxfId="5" priority="7" stopIfTrue="1" operator="greaterThan">
      <formula>0</formula>
    </cfRule>
  </conditionalFormatting>
  <conditionalFormatting sqref="D13 D8 D18 D23:D26 E24:W26 D6:W6 D10:W11">
    <cfRule type="cellIs" dxfId="4" priority="13" stopIfTrue="1" operator="greaterThan">
      <formula>0</formula>
    </cfRule>
  </conditionalFormatting>
  <conditionalFormatting sqref="D20:W21">
    <cfRule type="cellIs" dxfId="3" priority="5" stopIfTrue="1" operator="greaterThan">
      <formula>0</formula>
    </cfRule>
  </conditionalFormatting>
  <conditionalFormatting sqref="D9:W9">
    <cfRule type="cellIs" dxfId="2" priority="3" stopIfTrue="1" operator="greaterThan">
      <formula>0</formula>
    </cfRule>
  </conditionalFormatting>
  <conditionalFormatting sqref="D14:W14">
    <cfRule type="cellIs" dxfId="1" priority="2" stopIfTrue="1" operator="greaterThan">
      <formula>0</formula>
    </cfRule>
  </conditionalFormatting>
  <conditionalFormatting sqref="D19:W19">
    <cfRule type="cellIs" dxfId="0" priority="1" stopIfTrue="1" operator="greaterThan">
      <formula>0</formula>
    </cfRule>
  </conditionalFormatting>
  <pageMargins left="0.5" right="0.5" top="1" bottom="1" header="0.5" footer="0.5"/>
  <pageSetup paperSize="3" orientation="landscape" r:id="rId1"/>
  <headerFooter alignWithMargins="0">
    <oddHeader>&amp;L&amp;"Arial,Bold"WILLAMETTE RIVER WATER TREATMENT PLANT - 2017 MASTER PLAN UPDATE
CAPITAL IMPROVEMENT PLAN UPDATE</oddHeader>
    <oddFooter>&amp;L&amp;"Arial,Regular"&amp;8WRWTP - 2017 MPU CIP Workbook&amp;C&amp;"Arial,Regular"&amp;8&amp;A Sheet&amp;R&amp;"Arial,Regular"&amp;8Page &amp;P of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E10"/>
  <sheetViews>
    <sheetView workbookViewId="0"/>
  </sheetViews>
  <sheetFormatPr defaultRowHeight="14.4" x14ac:dyDescent="0.3"/>
  <sheetData>
    <row r="1" spans="1:5" x14ac:dyDescent="0.3">
      <c r="A1" t="s">
        <v>297</v>
      </c>
      <c r="C1" t="s">
        <v>10</v>
      </c>
      <c r="E1">
        <v>1</v>
      </c>
    </row>
    <row r="2" spans="1:5" x14ac:dyDescent="0.3">
      <c r="A2" t="s">
        <v>288</v>
      </c>
      <c r="C2" t="s">
        <v>9</v>
      </c>
      <c r="E2">
        <v>2</v>
      </c>
    </row>
    <row r="3" spans="1:5" x14ac:dyDescent="0.3">
      <c r="A3" t="s">
        <v>176</v>
      </c>
      <c r="E3">
        <v>3</v>
      </c>
    </row>
    <row r="4" spans="1:5" x14ac:dyDescent="0.3">
      <c r="E4">
        <v>4</v>
      </c>
    </row>
    <row r="5" spans="1:5" x14ac:dyDescent="0.3">
      <c r="E5">
        <v>5</v>
      </c>
    </row>
    <row r="6" spans="1:5" x14ac:dyDescent="0.3">
      <c r="E6">
        <v>6</v>
      </c>
    </row>
    <row r="7" spans="1:5" x14ac:dyDescent="0.3">
      <c r="E7">
        <v>7</v>
      </c>
    </row>
    <row r="8" spans="1:5" x14ac:dyDescent="0.3">
      <c r="E8">
        <v>8</v>
      </c>
    </row>
    <row r="9" spans="1:5" x14ac:dyDescent="0.3">
      <c r="E9">
        <v>9</v>
      </c>
    </row>
    <row r="10" spans="1:5" x14ac:dyDescent="0.3">
      <c r="E10">
        <v>10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X112"/>
  <sheetViews>
    <sheetView zoomScaleNormal="100" zoomScaleSheetLayoutView="100" workbookViewId="0">
      <selection activeCell="F13" sqref="F13"/>
    </sheetView>
  </sheetViews>
  <sheetFormatPr defaultRowHeight="14.4" x14ac:dyDescent="0.3"/>
  <cols>
    <col min="1" max="1" width="8.88671875" customWidth="1"/>
    <col min="2" max="2" width="28.33203125" customWidth="1"/>
    <col min="3" max="3" width="12.44140625" customWidth="1"/>
    <col min="4" max="4" width="14.6640625" style="28" customWidth="1"/>
    <col min="5" max="5" width="15.5546875" customWidth="1"/>
    <col min="6" max="6" width="15" customWidth="1"/>
    <col min="7" max="7" width="14" customWidth="1"/>
    <col min="8" max="8" width="13.5546875" bestFit="1" customWidth="1"/>
    <col min="9" max="9" width="15.6640625" customWidth="1"/>
    <col min="10" max="10" width="14.33203125" customWidth="1"/>
    <col min="11" max="11" width="13.5546875" bestFit="1" customWidth="1"/>
    <col min="12" max="12" width="10.33203125" customWidth="1"/>
    <col min="13" max="13" width="10" customWidth="1"/>
    <col min="14" max="14" width="13.5546875" customWidth="1"/>
    <col min="15" max="15" width="10.109375" customWidth="1"/>
    <col min="16" max="16" width="9" customWidth="1"/>
    <col min="17" max="17" width="13.6640625" customWidth="1"/>
    <col min="18" max="18" width="11" customWidth="1"/>
    <col min="19" max="19" width="8.88671875" customWidth="1"/>
    <col min="20" max="20" width="10.109375" customWidth="1"/>
    <col min="21" max="21" width="15" customWidth="1"/>
    <col min="22" max="22" width="15.5546875" customWidth="1"/>
    <col min="23" max="23" width="22.109375" customWidth="1"/>
    <col min="24" max="24" width="21.88671875" customWidth="1"/>
    <col min="25" max="25" width="29.109375" customWidth="1"/>
    <col min="28" max="28" width="14.44140625" customWidth="1"/>
    <col min="29" max="29" width="16.6640625" customWidth="1"/>
  </cols>
  <sheetData>
    <row r="1" spans="1:24" x14ac:dyDescent="0.3">
      <c r="A1" s="433" t="s">
        <v>189</v>
      </c>
      <c r="B1" s="1"/>
      <c r="C1" s="3"/>
      <c r="D1" s="2"/>
      <c r="E1" s="3"/>
      <c r="F1" s="4"/>
      <c r="G1" s="4"/>
      <c r="H1" s="3"/>
      <c r="I1" s="3"/>
      <c r="J1" s="3"/>
      <c r="K1" s="3"/>
      <c r="L1" s="3"/>
      <c r="M1" s="3"/>
      <c r="N1" s="3"/>
      <c r="O1" s="3"/>
      <c r="P1" s="3"/>
      <c r="Q1" s="3"/>
      <c r="R1" s="434"/>
      <c r="S1" s="110"/>
      <c r="T1" s="110"/>
      <c r="U1" s="110"/>
      <c r="V1" s="110"/>
      <c r="W1" s="7"/>
      <c r="X1" s="7"/>
    </row>
    <row r="2" spans="1:24" x14ac:dyDescent="0.3">
      <c r="A2" s="435" t="s">
        <v>0</v>
      </c>
      <c r="B2" s="5"/>
      <c r="C2" s="7"/>
      <c r="D2" s="6"/>
      <c r="E2" s="7"/>
      <c r="F2" s="8"/>
      <c r="G2" s="8"/>
      <c r="H2" s="7"/>
      <c r="I2" s="7"/>
      <c r="J2" s="7"/>
      <c r="K2" s="7"/>
      <c r="L2" s="7"/>
      <c r="M2" s="7"/>
      <c r="N2" s="7"/>
      <c r="O2" s="7"/>
      <c r="P2" s="7"/>
      <c r="Q2" s="7"/>
      <c r="R2" s="436"/>
      <c r="S2" s="110"/>
      <c r="T2" s="110"/>
      <c r="U2" s="110"/>
      <c r="V2" s="110"/>
      <c r="W2" s="7"/>
      <c r="X2" s="7"/>
    </row>
    <row r="3" spans="1:24" x14ac:dyDescent="0.3">
      <c r="A3" s="437"/>
      <c r="B3" s="61"/>
      <c r="C3" s="61"/>
      <c r="D3" s="144"/>
      <c r="E3" s="61"/>
      <c r="F3" s="82"/>
      <c r="G3" s="82"/>
      <c r="H3" s="61"/>
      <c r="I3" s="61"/>
      <c r="J3" s="61"/>
      <c r="K3" s="61"/>
      <c r="L3" s="61"/>
      <c r="M3" s="61"/>
      <c r="N3" s="61"/>
      <c r="O3" s="61"/>
      <c r="P3" s="61"/>
      <c r="Q3" s="61"/>
      <c r="R3" s="438"/>
      <c r="S3" s="111"/>
      <c r="T3" s="111"/>
      <c r="U3" s="111"/>
      <c r="V3" s="111"/>
      <c r="W3" s="5"/>
      <c r="X3" s="5"/>
    </row>
    <row r="4" spans="1:24" x14ac:dyDescent="0.3">
      <c r="A4" s="208"/>
      <c r="B4" s="1"/>
      <c r="C4" s="1"/>
      <c r="D4" s="221"/>
      <c r="E4" s="1"/>
      <c r="F4" s="222"/>
      <c r="G4" s="222"/>
      <c r="H4" s="1"/>
      <c r="I4" s="1"/>
      <c r="J4" s="1"/>
      <c r="K4" s="1"/>
      <c r="L4" s="1"/>
      <c r="M4" s="1"/>
      <c r="N4" s="1"/>
      <c r="O4" s="1"/>
      <c r="P4" s="1"/>
      <c r="Q4" s="1"/>
      <c r="R4" s="187"/>
      <c r="S4" s="111"/>
      <c r="T4" s="111"/>
      <c r="U4" s="185"/>
      <c r="V4" s="111"/>
      <c r="W4" s="5"/>
      <c r="X4" s="5"/>
    </row>
    <row r="5" spans="1:24" x14ac:dyDescent="0.3">
      <c r="A5" s="13" t="s">
        <v>355</v>
      </c>
      <c r="B5" s="5"/>
      <c r="C5" s="5"/>
      <c r="D5" s="11"/>
      <c r="E5" s="5"/>
      <c r="F5" s="12"/>
      <c r="G5" s="12"/>
      <c r="H5" s="5"/>
      <c r="I5" s="5"/>
      <c r="J5" s="5"/>
      <c r="K5" s="5"/>
      <c r="L5" s="5"/>
      <c r="M5" s="5"/>
      <c r="N5" s="5"/>
      <c r="O5" s="5"/>
      <c r="P5" s="5"/>
      <c r="Q5" s="5"/>
      <c r="R5" s="20"/>
      <c r="S5" s="186"/>
      <c r="T5" s="111"/>
      <c r="U5" s="111"/>
      <c r="V5" s="111"/>
      <c r="W5" s="5"/>
      <c r="X5" s="5"/>
    </row>
    <row r="6" spans="1:24" ht="5.25" customHeight="1" x14ac:dyDescent="0.3">
      <c r="A6" s="336"/>
      <c r="B6" s="337">
        <v>1</v>
      </c>
      <c r="C6" s="338">
        <v>2</v>
      </c>
      <c r="D6" s="337">
        <v>3</v>
      </c>
      <c r="E6" s="338">
        <v>4</v>
      </c>
      <c r="F6" s="337">
        <v>5</v>
      </c>
      <c r="G6" s="338">
        <v>6</v>
      </c>
      <c r="H6" s="337">
        <v>7</v>
      </c>
      <c r="I6" s="338">
        <v>8</v>
      </c>
      <c r="J6" s="337">
        <v>9</v>
      </c>
      <c r="K6" s="338">
        <v>10</v>
      </c>
      <c r="L6" s="337">
        <v>11</v>
      </c>
      <c r="M6" s="338">
        <v>12</v>
      </c>
      <c r="N6" s="337">
        <v>13</v>
      </c>
      <c r="O6" s="338">
        <v>14</v>
      </c>
      <c r="P6" s="337">
        <v>15</v>
      </c>
      <c r="Q6" s="338">
        <v>16</v>
      </c>
      <c r="R6" s="339">
        <v>17</v>
      </c>
      <c r="S6" s="83"/>
      <c r="T6" s="83"/>
      <c r="U6" s="83"/>
      <c r="V6" s="111"/>
      <c r="W6" s="5"/>
      <c r="X6" s="5"/>
    </row>
    <row r="7" spans="1:24" ht="60" customHeight="1" x14ac:dyDescent="0.3">
      <c r="A7" s="393" t="s">
        <v>169</v>
      </c>
      <c r="B7" s="393" t="s">
        <v>154</v>
      </c>
      <c r="C7" s="396" t="s">
        <v>171</v>
      </c>
      <c r="D7" s="394" t="s">
        <v>161</v>
      </c>
      <c r="E7" s="394" t="s">
        <v>289</v>
      </c>
      <c r="F7" s="394" t="s">
        <v>358</v>
      </c>
      <c r="G7" s="395" t="s">
        <v>177</v>
      </c>
      <c r="H7" s="395" t="s">
        <v>298</v>
      </c>
      <c r="I7" s="394" t="str">
        <f>"Future Value in Project Year - "&amp;C8</f>
        <v>Future Value in Project Year - Escalation</v>
      </c>
      <c r="J7" s="397" t="s">
        <v>309</v>
      </c>
      <c r="K7" s="395" t="s">
        <v>309</v>
      </c>
      <c r="L7" s="394" t="s">
        <v>172</v>
      </c>
      <c r="M7" s="395" t="s">
        <v>299</v>
      </c>
      <c r="N7" s="395" t="s">
        <v>300</v>
      </c>
      <c r="O7" s="395" t="s">
        <v>301</v>
      </c>
      <c r="P7" s="394" t="s">
        <v>11</v>
      </c>
      <c r="Q7" s="394" t="s">
        <v>12</v>
      </c>
      <c r="R7" s="394" t="s">
        <v>308</v>
      </c>
      <c r="S7" s="101"/>
      <c r="T7" s="109"/>
      <c r="U7" s="109"/>
      <c r="V7" s="109"/>
    </row>
    <row r="8" spans="1:24" ht="28.2" customHeight="1" x14ac:dyDescent="0.3">
      <c r="A8" s="88">
        <v>1</v>
      </c>
      <c r="B8" s="120" t="s">
        <v>218</v>
      </c>
      <c r="C8" s="376" t="s">
        <v>176</v>
      </c>
      <c r="D8" s="123">
        <f>ROUNDUP(SUMIF(Full_Project,B8,Full_Constr),-4)</f>
        <v>12580000</v>
      </c>
      <c r="E8" s="86">
        <f>ROUNDUP(SUMIF(Full_Project,B8,Full_Design)+SUMIF(Full_Project,B8,Full_Admin),-4)</f>
        <v>3150000</v>
      </c>
      <c r="F8" s="124">
        <f>D8+E8</f>
        <v>15730000</v>
      </c>
      <c r="G8" s="292">
        <v>2021</v>
      </c>
      <c r="H8" s="292"/>
      <c r="I8" s="86">
        <f>ROUNDUP(SUMIF(Full_Project,B8,Full_Future),-4)</f>
        <v>17710000</v>
      </c>
      <c r="J8" s="89">
        <f>IF(K8=0,ROUNDUP((M8+N8+O8)/12,0),K8)</f>
        <v>3</v>
      </c>
      <c r="K8" s="293">
        <v>0</v>
      </c>
      <c r="L8" s="89">
        <f>IF(K8=0,G8-J8,G8-K8)</f>
        <v>2018</v>
      </c>
      <c r="M8" s="293">
        <v>12</v>
      </c>
      <c r="N8" s="293">
        <v>18</v>
      </c>
      <c r="O8" s="293">
        <v>6</v>
      </c>
      <c r="P8" s="89">
        <f>ROUNDDOWN(G8-SUM(M8:O8)/12,0)</f>
        <v>2018</v>
      </c>
      <c r="Q8" s="89">
        <f>ROUNDDOWN(G8-SUM(N8:O8)/12,0)</f>
        <v>2019</v>
      </c>
      <c r="R8" s="359">
        <f>SUM('P1'!I55:I75)</f>
        <v>0</v>
      </c>
      <c r="S8" s="101"/>
      <c r="T8" s="109"/>
      <c r="U8" s="109"/>
      <c r="V8" s="109"/>
    </row>
    <row r="9" spans="1:24" ht="28.2" customHeight="1" x14ac:dyDescent="0.3">
      <c r="A9" s="176">
        <v>2</v>
      </c>
      <c r="B9" s="177" t="s">
        <v>71</v>
      </c>
      <c r="C9" s="376" t="s">
        <v>176</v>
      </c>
      <c r="D9" s="123">
        <f>ROUNDUP(SUMIF(Full_Project,B9,Full_Constr),-4)</f>
        <v>570000</v>
      </c>
      <c r="E9" s="86">
        <f>ROUNDUP(SUMIF(Full_Project,B9,Full_Design)+SUMIF(Full_Project,B9,Full_Admin),-4)</f>
        <v>60000</v>
      </c>
      <c r="F9" s="124">
        <f t="shared" ref="F9:F10" si="0">D9+E9</f>
        <v>630000</v>
      </c>
      <c r="G9" s="294">
        <v>2022</v>
      </c>
      <c r="H9" s="294"/>
      <c r="I9" s="86">
        <f>ROUNDUP(SUMIF(Full_Project,B9,Full_Future),-4)</f>
        <v>720000</v>
      </c>
      <c r="J9" s="89">
        <f>IF(K9=0,ROUNDUP((M9+N9+O9)/12,0),K9)</f>
        <v>2</v>
      </c>
      <c r="K9" s="295">
        <v>0</v>
      </c>
      <c r="L9" s="89">
        <f>G9-J9</f>
        <v>2020</v>
      </c>
      <c r="M9" s="293">
        <v>6</v>
      </c>
      <c r="N9" s="293">
        <v>6</v>
      </c>
      <c r="O9" s="293">
        <v>3</v>
      </c>
      <c r="P9" s="89">
        <f>ROUNDDOWN(G9-SUM(M9:O9)/12,0)</f>
        <v>2020</v>
      </c>
      <c r="Q9" s="89">
        <f>ROUNDDOWN(G9-SUM(N9:O9)/12,0)</f>
        <v>2021</v>
      </c>
      <c r="R9" s="359">
        <f>SUM('P2'!I43:I74)</f>
        <v>0</v>
      </c>
      <c r="S9" s="101"/>
      <c r="T9" s="109"/>
      <c r="U9" s="109"/>
      <c r="V9" s="109"/>
    </row>
    <row r="10" spans="1:24" ht="28.2" customHeight="1" x14ac:dyDescent="0.3">
      <c r="A10" s="63">
        <v>3</v>
      </c>
      <c r="B10" s="121" t="s">
        <v>138</v>
      </c>
      <c r="C10" s="376" t="s">
        <v>176</v>
      </c>
      <c r="D10" s="123">
        <f>ROUNDUP(SUMIF(Full_Project,B10,Full_Constr),-4)</f>
        <v>930000</v>
      </c>
      <c r="E10" s="86">
        <f>ROUNDUP(SUMIF(Full_Project,B10,Full_Design)+SUMIF(Full_Project,B10,Full_Admin),-4)</f>
        <v>240000</v>
      </c>
      <c r="F10" s="124">
        <f t="shared" si="0"/>
        <v>1170000</v>
      </c>
      <c r="G10" s="294">
        <v>2022</v>
      </c>
      <c r="H10" s="294"/>
      <c r="I10" s="86">
        <f>ROUNDUP(SUMIF(Full_Project,B10,Full_Future),-4)</f>
        <v>1340000</v>
      </c>
      <c r="J10" s="89">
        <f>IF(K10=0,ROUNDUP((M10+N10+O10)/12,0),K10)</f>
        <v>2</v>
      </c>
      <c r="K10" s="295">
        <v>0</v>
      </c>
      <c r="L10" s="89">
        <f>G10-J10</f>
        <v>2020</v>
      </c>
      <c r="M10" s="293">
        <v>6</v>
      </c>
      <c r="N10" s="293">
        <v>6</v>
      </c>
      <c r="O10" s="293">
        <v>3</v>
      </c>
      <c r="P10" s="89">
        <f>ROUNDDOWN(G10-SUM(M10:O10)/12,0)</f>
        <v>2020</v>
      </c>
      <c r="Q10" s="89">
        <f>ROUNDDOWN(G10-SUM(N10:O10)/12,0)</f>
        <v>2021</v>
      </c>
      <c r="R10" s="359">
        <f>SUM('P3'!I44:I52)</f>
        <v>0</v>
      </c>
      <c r="S10" s="101"/>
      <c r="T10" s="109"/>
      <c r="U10" s="109"/>
      <c r="V10" s="109"/>
    </row>
    <row r="11" spans="1:24" ht="28.2" customHeight="1" x14ac:dyDescent="0.3">
      <c r="A11" s="89">
        <v>4</v>
      </c>
      <c r="B11" s="178" t="s">
        <v>219</v>
      </c>
      <c r="C11" s="376" t="s">
        <v>176</v>
      </c>
      <c r="D11" s="123">
        <f>ROUNDUP(SUMIF(Full_Project,B11,Full_Constr),-4)</f>
        <v>30920000</v>
      </c>
      <c r="E11" s="86">
        <f>ROUNDUP(SUMIF(Full_Project,B11,Full_Design)+SUMIF(Full_Project,B11,Full_Admin),-4)</f>
        <v>7730000</v>
      </c>
      <c r="F11" s="124">
        <f>D11+E11</f>
        <v>38650000</v>
      </c>
      <c r="G11" s="293">
        <v>2034</v>
      </c>
      <c r="H11" s="293"/>
      <c r="I11" s="86">
        <f>ROUNDUP(SUMIF(Full_Project,B11,Full_Future),-4)</f>
        <v>63870000</v>
      </c>
      <c r="J11" s="89">
        <f>IF(K11=0,ROUNDUP((M11+N11+O11)/12,0),K11)</f>
        <v>4</v>
      </c>
      <c r="K11" s="293">
        <v>0</v>
      </c>
      <c r="L11" s="89">
        <f>G11-J11</f>
        <v>2030</v>
      </c>
      <c r="M11" s="293">
        <v>12</v>
      </c>
      <c r="N11" s="293">
        <v>24</v>
      </c>
      <c r="O11" s="293">
        <v>6</v>
      </c>
      <c r="P11" s="89">
        <f>ROUNDDOWN(G11-SUM(M11:O11)/12,0)</f>
        <v>2030</v>
      </c>
      <c r="Q11" s="89">
        <f>ROUNDDOWN(G11-SUM(N11:O11)/12,0)</f>
        <v>2031</v>
      </c>
      <c r="R11" s="359">
        <f>SUM('P4'!I47:I62)</f>
        <v>0</v>
      </c>
      <c r="S11" s="101"/>
      <c r="T11" s="109"/>
      <c r="U11" s="109"/>
      <c r="V11" s="109"/>
    </row>
    <row r="12" spans="1:24" x14ac:dyDescent="0.3">
      <c r="A12" s="56"/>
      <c r="B12" s="58"/>
      <c r="C12" s="65"/>
      <c r="D12" s="55"/>
      <c r="E12" s="55"/>
      <c r="F12" s="55"/>
      <c r="G12" s="56"/>
      <c r="H12" s="56"/>
      <c r="I12" s="56"/>
      <c r="J12" s="56"/>
      <c r="K12" s="56"/>
      <c r="L12" s="56"/>
      <c r="M12" s="127"/>
      <c r="N12" s="181"/>
      <c r="O12" s="127"/>
      <c r="P12" s="127"/>
      <c r="Q12" s="127"/>
      <c r="R12" s="131"/>
      <c r="S12" s="101"/>
      <c r="T12" s="72"/>
      <c r="U12" s="103"/>
      <c r="V12" s="109"/>
    </row>
    <row r="13" spans="1:24" x14ac:dyDescent="0.3">
      <c r="A13" s="224"/>
      <c r="B13" s="225" t="s">
        <v>1</v>
      </c>
      <c r="C13" s="225"/>
      <c r="D13" s="332">
        <f>ROUNDUP(SUM('P1'!E55:E75)+SUM('P2'!E43:E74)+SUM('P3'!E44:E52)+SUM('P4'!E47:E62),-4)</f>
        <v>45020000</v>
      </c>
      <c r="E13" s="332">
        <f>F13-D13</f>
        <v>11170000</v>
      </c>
      <c r="F13" s="198">
        <f>ROUNDUP(SUM('P1'!G55:G75)+SUM('P2'!G43:G74)+SUM('P3'!G44:G52)+SUM('P4'!G47:G62),-4)</f>
        <v>56190000</v>
      </c>
      <c r="G13" s="198"/>
      <c r="H13" s="198"/>
      <c r="I13" s="198"/>
      <c r="J13" s="198"/>
      <c r="K13" s="198"/>
      <c r="L13" s="198"/>
      <c r="M13" s="198"/>
      <c r="N13" s="198"/>
      <c r="O13" s="198"/>
      <c r="P13" s="198"/>
      <c r="Q13" s="198"/>
      <c r="R13" s="145"/>
      <c r="S13" s="101"/>
      <c r="T13" s="112"/>
      <c r="U13" s="112"/>
      <c r="V13" s="109"/>
    </row>
    <row r="14" spans="1:24" x14ac:dyDescent="0.3">
      <c r="A14" s="10" t="s">
        <v>3</v>
      </c>
      <c r="B14" s="16"/>
      <c r="C14" s="6"/>
      <c r="D14" s="16"/>
      <c r="E14" s="16"/>
      <c r="F14" s="21"/>
      <c r="G14" s="16"/>
      <c r="H14" s="53"/>
      <c r="I14" s="53"/>
      <c r="J14" s="53"/>
      <c r="K14" s="53"/>
      <c r="L14" s="53"/>
      <c r="M14" s="53"/>
      <c r="N14" s="53"/>
      <c r="O14" s="53"/>
      <c r="P14" s="16"/>
      <c r="Q14" s="16"/>
      <c r="R14" s="210"/>
      <c r="S14" s="109"/>
      <c r="T14" s="109"/>
      <c r="U14" s="109"/>
      <c r="V14" s="109"/>
      <c r="W14" s="103"/>
      <c r="X14" s="104"/>
    </row>
    <row r="15" spans="1:24" x14ac:dyDescent="0.3">
      <c r="A15" s="188" t="s">
        <v>2</v>
      </c>
      <c r="B15" s="172" t="str">
        <f>"In "&amp;TEXT(estimate_date,"mm/yy")&amp;" dollars. Assuming "&amp;Design*100&amp;"% contingency for Design and "&amp;Admin*100&amp;"% for legal and administration costs."</f>
        <v>In 09/17 dollars. Assuming 15% contingency for Design and 10% for legal and administration costs.</v>
      </c>
      <c r="C15" s="172"/>
      <c r="D15" s="16"/>
      <c r="E15" s="16"/>
      <c r="F15" s="21"/>
      <c r="G15" s="16"/>
      <c r="H15" s="53"/>
      <c r="I15" s="53"/>
      <c r="J15" s="53"/>
      <c r="K15" s="53"/>
      <c r="L15" s="53"/>
      <c r="M15" s="53"/>
      <c r="N15" s="53"/>
      <c r="O15" s="53"/>
      <c r="P15" s="16"/>
      <c r="Q15" s="16"/>
      <c r="R15" s="75"/>
      <c r="S15" s="109"/>
      <c r="T15" s="109"/>
      <c r="U15" s="109"/>
      <c r="V15" s="109"/>
      <c r="W15" s="103"/>
      <c r="X15" s="104"/>
    </row>
    <row r="16" spans="1:24" x14ac:dyDescent="0.3">
      <c r="A16" s="220" t="s">
        <v>190</v>
      </c>
      <c r="B16" s="189" t="s">
        <v>191</v>
      </c>
      <c r="C16" s="138"/>
      <c r="D16" s="137"/>
      <c r="E16" s="137"/>
      <c r="F16" s="139"/>
      <c r="G16" s="137"/>
      <c r="H16" s="140"/>
      <c r="I16" s="140"/>
      <c r="J16" s="140"/>
      <c r="K16" s="140"/>
      <c r="L16" s="140"/>
      <c r="M16" s="140"/>
      <c r="N16" s="140"/>
      <c r="O16" s="140"/>
      <c r="P16" s="137"/>
      <c r="Q16" s="137"/>
      <c r="R16" s="141"/>
      <c r="S16" s="109"/>
      <c r="T16" s="109"/>
      <c r="U16" s="109"/>
      <c r="V16" s="109"/>
      <c r="W16" s="103"/>
      <c r="X16" s="104"/>
    </row>
    <row r="17" spans="1:24" x14ac:dyDescent="0.3">
      <c r="A17" s="101"/>
      <c r="B17" s="73"/>
      <c r="C17" s="74"/>
      <c r="D17" s="68"/>
      <c r="E17" s="69"/>
      <c r="F17" s="70"/>
      <c r="G17" s="70"/>
      <c r="H17" s="37"/>
      <c r="I17" s="37"/>
      <c r="J17" s="37"/>
      <c r="K17" s="37"/>
      <c r="L17" s="37"/>
      <c r="M17" s="37"/>
      <c r="N17" s="37"/>
      <c r="O17" s="37"/>
      <c r="P17" s="103"/>
      <c r="Q17" s="103"/>
      <c r="R17" s="101"/>
      <c r="S17" s="101"/>
      <c r="T17" s="101"/>
      <c r="U17" s="72"/>
      <c r="V17" s="103"/>
      <c r="W17" s="103"/>
      <c r="X17" s="104"/>
    </row>
    <row r="18" spans="1:24" x14ac:dyDescent="0.3">
      <c r="A18" s="101"/>
      <c r="B18" s="73"/>
      <c r="C18" s="74"/>
      <c r="D18" s="68"/>
      <c r="E18" s="69"/>
      <c r="F18" s="70"/>
      <c r="G18" s="70"/>
      <c r="H18" s="37"/>
      <c r="I18" s="37"/>
      <c r="J18" s="37"/>
      <c r="K18" s="37"/>
      <c r="L18" s="37"/>
      <c r="M18" s="37"/>
      <c r="N18" s="37"/>
      <c r="O18" s="37"/>
      <c r="P18" s="103"/>
      <c r="Q18" s="103"/>
      <c r="R18" s="101"/>
      <c r="S18" s="101"/>
      <c r="T18" s="101"/>
      <c r="U18" s="72"/>
      <c r="V18" s="103"/>
      <c r="W18" s="103"/>
      <c r="X18" s="104"/>
    </row>
    <row r="19" spans="1:24" x14ac:dyDescent="0.3">
      <c r="A19" s="201"/>
      <c r="B19" s="191"/>
      <c r="C19" s="192"/>
      <c r="D19" s="193"/>
      <c r="E19" s="194"/>
      <c r="F19" s="195"/>
      <c r="G19" s="227"/>
      <c r="H19" s="227"/>
      <c r="I19" s="227"/>
      <c r="J19" s="227"/>
      <c r="K19" s="375"/>
      <c r="L19" s="37"/>
      <c r="M19" s="37"/>
      <c r="N19" s="37"/>
      <c r="O19" s="103"/>
      <c r="P19" s="103"/>
      <c r="Q19" s="37"/>
      <c r="R19" s="101"/>
      <c r="S19" s="101"/>
      <c r="T19" s="72"/>
      <c r="U19" s="103"/>
      <c r="V19" s="103"/>
      <c r="W19" s="104"/>
    </row>
    <row r="20" spans="1:24" x14ac:dyDescent="0.3">
      <c r="A20" s="421" t="s">
        <v>220</v>
      </c>
      <c r="B20" s="422"/>
      <c r="C20" s="422"/>
      <c r="D20" s="422"/>
      <c r="E20" s="422"/>
      <c r="F20" s="422"/>
      <c r="G20" s="422"/>
      <c r="H20" s="422"/>
      <c r="I20" s="422"/>
      <c r="J20" s="422"/>
      <c r="K20" s="423"/>
      <c r="L20" s="16"/>
      <c r="M20" s="37"/>
      <c r="N20" s="37"/>
      <c r="O20" s="103"/>
      <c r="P20" s="103"/>
      <c r="Q20" s="101"/>
      <c r="R20" s="101"/>
      <c r="S20" s="101"/>
      <c r="T20" s="72"/>
      <c r="U20" s="103"/>
      <c r="V20" s="103"/>
      <c r="W20" s="104"/>
    </row>
    <row r="21" spans="1:24" x14ac:dyDescent="0.3">
      <c r="A21" s="416" t="s">
        <v>171</v>
      </c>
      <c r="B21" s="417"/>
      <c r="C21" s="377" t="s">
        <v>176</v>
      </c>
      <c r="D21" s="392"/>
      <c r="E21" s="392"/>
      <c r="F21" s="70"/>
      <c r="G21" s="37"/>
      <c r="H21" s="37"/>
      <c r="I21" s="37"/>
      <c r="J21" s="37"/>
      <c r="K21" s="351"/>
      <c r="L21" s="37"/>
      <c r="M21" s="37"/>
      <c r="N21" s="37"/>
      <c r="O21" s="103"/>
      <c r="P21" s="103"/>
      <c r="Q21" s="101"/>
      <c r="R21" s="101"/>
      <c r="S21" s="101"/>
      <c r="T21" s="72"/>
      <c r="U21" s="103"/>
      <c r="V21" s="103"/>
      <c r="W21" s="104"/>
    </row>
    <row r="22" spans="1:24" x14ac:dyDescent="0.3">
      <c r="A22" s="390" t="s">
        <v>293</v>
      </c>
      <c r="B22" s="391"/>
      <c r="C22" s="378">
        <v>6</v>
      </c>
      <c r="D22" s="392"/>
      <c r="E22" s="392"/>
      <c r="F22" s="70"/>
      <c r="G22" s="37"/>
      <c r="H22" s="37"/>
      <c r="I22" s="37"/>
      <c r="J22" s="37"/>
      <c r="K22" s="351"/>
      <c r="L22" s="37"/>
      <c r="M22" s="37"/>
      <c r="N22" s="37"/>
      <c r="O22" s="103"/>
      <c r="P22" s="103"/>
      <c r="Q22" s="101"/>
      <c r="R22" s="101"/>
      <c r="S22" s="101"/>
      <c r="T22" s="72"/>
      <c r="U22" s="103"/>
      <c r="V22" s="103"/>
      <c r="W22" s="104"/>
    </row>
    <row r="23" spans="1:24" x14ac:dyDescent="0.3">
      <c r="A23" s="390" t="s">
        <v>294</v>
      </c>
      <c r="B23" s="391"/>
      <c r="C23" s="378">
        <v>6</v>
      </c>
      <c r="D23" s="392"/>
      <c r="E23" s="392"/>
      <c r="F23" s="70"/>
      <c r="G23" s="37"/>
      <c r="H23" s="37"/>
      <c r="I23" s="37"/>
      <c r="J23" s="37"/>
      <c r="K23" s="351"/>
      <c r="L23" s="37"/>
      <c r="M23" s="37"/>
      <c r="N23" s="37"/>
      <c r="O23" s="103"/>
      <c r="P23" s="103"/>
      <c r="Q23" s="101"/>
      <c r="R23" s="101"/>
      <c r="S23" s="101"/>
      <c r="T23" s="72"/>
      <c r="U23" s="103"/>
      <c r="V23" s="103"/>
      <c r="W23" s="104"/>
    </row>
    <row r="24" spans="1:24" x14ac:dyDescent="0.3">
      <c r="A24" s="202"/>
      <c r="B24" s="197"/>
      <c r="C24" s="137"/>
      <c r="D24" s="190"/>
      <c r="E24" s="190"/>
      <c r="F24" s="196"/>
      <c r="G24" s="366"/>
      <c r="H24" s="366"/>
      <c r="I24" s="137"/>
      <c r="J24" s="366"/>
      <c r="K24" s="353"/>
      <c r="L24" s="37"/>
      <c r="M24" s="37"/>
      <c r="N24" s="37"/>
      <c r="O24" s="103"/>
      <c r="P24" s="103"/>
      <c r="Q24" s="101"/>
      <c r="R24" s="101"/>
      <c r="S24" s="101"/>
      <c r="T24" s="72"/>
      <c r="U24" s="103"/>
      <c r="V24" s="103"/>
      <c r="W24" s="104"/>
    </row>
    <row r="25" spans="1:24" ht="61.5" customHeight="1" x14ac:dyDescent="0.3">
      <c r="A25" s="393" t="s">
        <v>169</v>
      </c>
      <c r="B25" s="393" t="s">
        <v>154</v>
      </c>
      <c r="C25" s="394" t="s">
        <v>148</v>
      </c>
      <c r="D25" s="395" t="s">
        <v>298</v>
      </c>
      <c r="E25" s="394" t="s">
        <v>161</v>
      </c>
      <c r="F25" s="394" t="s">
        <v>303</v>
      </c>
      <c r="G25" s="394" t="s">
        <v>357</v>
      </c>
      <c r="H25" s="394" t="str">
        <f>"Future Value in Project Year - "&amp;RRCostProjection</f>
        <v>Future Value in Project Year - Escalation</v>
      </c>
      <c r="I25" s="394" t="str">
        <f>"Admin Cost in Project Year - "&amp;RRCostProjection</f>
        <v>Admin Cost in Project Year - Escalation</v>
      </c>
      <c r="J25" s="394" t="str">
        <f>"Construction Cost in Project Year - "&amp;RRCostProjection</f>
        <v>Construction Cost in Project Year - Escalation</v>
      </c>
      <c r="K25" s="394" t="s">
        <v>308</v>
      </c>
      <c r="L25" s="101"/>
      <c r="M25" s="101"/>
      <c r="N25" s="101"/>
      <c r="O25" s="72"/>
      <c r="P25" s="103"/>
      <c r="Q25" s="103"/>
      <c r="R25" s="104"/>
    </row>
    <row r="26" spans="1:24" x14ac:dyDescent="0.3">
      <c r="A26" s="56">
        <v>5</v>
      </c>
      <c r="B26" s="182" t="s">
        <v>287</v>
      </c>
      <c r="C26" s="63">
        <v>2019</v>
      </c>
      <c r="D26" s="292"/>
      <c r="E26" s="183">
        <f>ROUNDUP(SUMIF('P5'!$H$12:$H$88,C26,'P5'!$E$12:$E$88),-4)</f>
        <v>1360000</v>
      </c>
      <c r="F26" s="183">
        <f t="shared" ref="F26:F43" si="1">ROUNDUP(E26*Admin,-4)</f>
        <v>140000</v>
      </c>
      <c r="G26" s="184">
        <f>E26+F26</f>
        <v>1500000</v>
      </c>
      <c r="H26" s="62">
        <f>ROUNDUP(SUMIF('P5'!$H$12:$H$88,C26,'P5'!$I$12:$I$88),-4)</f>
        <v>1590000</v>
      </c>
      <c r="I26" s="183">
        <f t="shared" ref="I26:I43" si="2">ROUNDUP(H26*Admin,-4)</f>
        <v>160000</v>
      </c>
      <c r="J26" s="183">
        <f>H26-I26</f>
        <v>1430000</v>
      </c>
      <c r="K26" s="183">
        <f>SUMIF('P5'!H$12:H$88,'CIP Summary'!C26,'P5'!J$12:J$88)</f>
        <v>0</v>
      </c>
      <c r="L26" s="101"/>
      <c r="M26" s="101"/>
      <c r="N26" s="101"/>
      <c r="O26" s="72"/>
      <c r="P26" s="103"/>
      <c r="Q26" s="103"/>
      <c r="R26" s="104"/>
    </row>
    <row r="27" spans="1:24" x14ac:dyDescent="0.3">
      <c r="A27" s="56">
        <v>5</v>
      </c>
      <c r="B27" s="182" t="s">
        <v>231</v>
      </c>
      <c r="C27" s="63">
        <v>2020</v>
      </c>
      <c r="D27" s="292"/>
      <c r="E27" s="183">
        <f>ROUNDUP(SUMIF('P5'!$H$12:$H$88,C27,'P5'!$E$12:$E$88),-4)</f>
        <v>1450000</v>
      </c>
      <c r="F27" s="183">
        <f t="shared" si="1"/>
        <v>150000</v>
      </c>
      <c r="G27" s="184">
        <f t="shared" ref="G27:G43" si="3">E27+F27</f>
        <v>1600000</v>
      </c>
      <c r="H27" s="62">
        <f>ROUNDUP(SUMIF('P5'!$H$12:$H$88,C27,'P5'!$I$12:$I$88),-4)</f>
        <v>1740000</v>
      </c>
      <c r="I27" s="183">
        <f t="shared" si="2"/>
        <v>180000</v>
      </c>
      <c r="J27" s="183">
        <f t="shared" ref="J27:J43" si="4">H27-I27</f>
        <v>1560000</v>
      </c>
      <c r="K27" s="183">
        <f>SUMIF('P5'!H$12:H$88,'CIP Summary'!C27,'P5'!J$12:J$88)</f>
        <v>0</v>
      </c>
      <c r="L27" s="101"/>
      <c r="M27" s="101"/>
      <c r="N27" s="101"/>
      <c r="O27" s="72"/>
      <c r="P27" s="103"/>
      <c r="Q27" s="103"/>
      <c r="R27" s="104"/>
    </row>
    <row r="28" spans="1:24" x14ac:dyDescent="0.3">
      <c r="A28" s="56">
        <v>5</v>
      </c>
      <c r="B28" s="182" t="s">
        <v>232</v>
      </c>
      <c r="C28" s="63">
        <v>2021</v>
      </c>
      <c r="D28" s="292"/>
      <c r="E28" s="183">
        <f>ROUNDUP(SUMIF('P5'!$H$12:$H$88,C28,'P5'!$E$12:$E$88),-4)</f>
        <v>20000</v>
      </c>
      <c r="F28" s="183">
        <f t="shared" si="1"/>
        <v>10000</v>
      </c>
      <c r="G28" s="184">
        <f t="shared" si="3"/>
        <v>30000</v>
      </c>
      <c r="H28" s="62">
        <f>ROUNDUP(SUMIF('P5'!$H$12:$H$88,C28,'P5'!$I$12:$I$88),-4)</f>
        <v>20000</v>
      </c>
      <c r="I28" s="183">
        <f t="shared" si="2"/>
        <v>10000</v>
      </c>
      <c r="J28" s="183">
        <f t="shared" si="4"/>
        <v>10000</v>
      </c>
      <c r="K28" s="183">
        <f>SUMIF('P5'!H$12:H$88,'CIP Summary'!C28,'P5'!J$12:J$88)</f>
        <v>0</v>
      </c>
      <c r="L28" s="101"/>
      <c r="M28" s="101"/>
      <c r="N28" s="101"/>
      <c r="O28" s="72"/>
      <c r="P28" s="103"/>
      <c r="Q28" s="103"/>
      <c r="R28" s="104"/>
    </row>
    <row r="29" spans="1:24" x14ac:dyDescent="0.3">
      <c r="A29" s="56">
        <v>5</v>
      </c>
      <c r="B29" s="182" t="s">
        <v>233</v>
      </c>
      <c r="C29" s="63">
        <v>2022</v>
      </c>
      <c r="D29" s="292"/>
      <c r="E29" s="183">
        <f>ROUNDUP(SUMIF('P5'!$H$12:$H$88,C29,'P5'!$E$12:$E$88),-4)</f>
        <v>3110000</v>
      </c>
      <c r="F29" s="183">
        <f t="shared" si="1"/>
        <v>320000</v>
      </c>
      <c r="G29" s="184">
        <f t="shared" si="3"/>
        <v>3430000</v>
      </c>
      <c r="H29" s="62">
        <f>ROUNDUP(SUMIF('P5'!$H$12:$H$88,C29,'P5'!$I$12:$I$88),-4)</f>
        <v>3970000</v>
      </c>
      <c r="I29" s="183">
        <f t="shared" si="2"/>
        <v>400000</v>
      </c>
      <c r="J29" s="183">
        <f t="shared" si="4"/>
        <v>3570000</v>
      </c>
      <c r="K29" s="183">
        <f>SUMIF('P5'!H$12:H$88,'CIP Summary'!C29,'P5'!J$12:J$88)</f>
        <v>0</v>
      </c>
      <c r="L29" s="101"/>
      <c r="M29" s="101"/>
      <c r="N29" s="101"/>
      <c r="O29" s="72"/>
      <c r="P29" s="103"/>
      <c r="Q29" s="103"/>
      <c r="R29" s="104"/>
    </row>
    <row r="30" spans="1:24" x14ac:dyDescent="0.3">
      <c r="A30" s="56">
        <v>5</v>
      </c>
      <c r="B30" s="182" t="s">
        <v>234</v>
      </c>
      <c r="C30" s="63">
        <v>2023</v>
      </c>
      <c r="D30" s="292"/>
      <c r="E30" s="183">
        <f>ROUNDUP(SUMIF('P5'!$H$12:$H$88,C30,'P5'!$E$12:$E$88),-4)</f>
        <v>20000</v>
      </c>
      <c r="F30" s="183">
        <f t="shared" si="1"/>
        <v>10000</v>
      </c>
      <c r="G30" s="184">
        <f t="shared" si="3"/>
        <v>30000</v>
      </c>
      <c r="H30" s="62">
        <f>ROUNDUP(SUMIF('P5'!$H$12:$H$88,C30,'P5'!$I$12:$I$88),-4)</f>
        <v>20000</v>
      </c>
      <c r="I30" s="183">
        <f t="shared" si="2"/>
        <v>10000</v>
      </c>
      <c r="J30" s="183">
        <f t="shared" si="4"/>
        <v>10000</v>
      </c>
      <c r="K30" s="183">
        <f>SUMIF('P5'!H$12:H$88,'CIP Summary'!C30,'P5'!J$12:J$88)</f>
        <v>0</v>
      </c>
      <c r="L30" s="101"/>
      <c r="M30" s="101"/>
      <c r="N30" s="101"/>
      <c r="O30" s="72"/>
      <c r="P30" s="103"/>
      <c r="Q30" s="103"/>
      <c r="R30" s="104"/>
    </row>
    <row r="31" spans="1:24" x14ac:dyDescent="0.3">
      <c r="A31" s="56">
        <v>5</v>
      </c>
      <c r="B31" s="182" t="s">
        <v>235</v>
      </c>
      <c r="C31" s="63">
        <v>2024</v>
      </c>
      <c r="D31" s="292"/>
      <c r="E31" s="183">
        <f>ROUNDUP(SUMIF('P5'!$H$12:$H$88,C31,'P5'!$E$12:$E$88),-4)</f>
        <v>20000</v>
      </c>
      <c r="F31" s="183">
        <f t="shared" si="1"/>
        <v>10000</v>
      </c>
      <c r="G31" s="184">
        <f t="shared" si="3"/>
        <v>30000</v>
      </c>
      <c r="H31" s="62">
        <f>ROUNDUP(SUMIF('P5'!$H$12:$H$88,C31,'P5'!$I$12:$I$88),-4)</f>
        <v>20000</v>
      </c>
      <c r="I31" s="183">
        <f t="shared" si="2"/>
        <v>10000</v>
      </c>
      <c r="J31" s="183">
        <f t="shared" si="4"/>
        <v>10000</v>
      </c>
      <c r="K31" s="183">
        <f>SUMIF('P5'!H$12:H$88,'CIP Summary'!C31,'P5'!J$12:J$88)</f>
        <v>0</v>
      </c>
      <c r="L31" s="101"/>
      <c r="M31" s="101"/>
      <c r="N31" s="101"/>
      <c r="O31" s="72"/>
      <c r="P31" s="103"/>
      <c r="Q31" s="103"/>
      <c r="R31" s="104"/>
    </row>
    <row r="32" spans="1:24" x14ac:dyDescent="0.3">
      <c r="A32" s="56">
        <v>5</v>
      </c>
      <c r="B32" s="182" t="s">
        <v>236</v>
      </c>
      <c r="C32" s="63">
        <v>2025</v>
      </c>
      <c r="D32" s="292"/>
      <c r="E32" s="183">
        <f>ROUNDUP(SUMIF('P5'!$H$12:$H$88,C32,'P5'!$E$12:$E$88),-4)</f>
        <v>20000</v>
      </c>
      <c r="F32" s="183">
        <f t="shared" si="1"/>
        <v>10000</v>
      </c>
      <c r="G32" s="184">
        <f t="shared" si="3"/>
        <v>30000</v>
      </c>
      <c r="H32" s="62">
        <f>ROUNDUP(SUMIF('P5'!$H$12:$H$88,C32,'P5'!$I$12:$I$88),-4)</f>
        <v>20000</v>
      </c>
      <c r="I32" s="183">
        <f t="shared" si="2"/>
        <v>10000</v>
      </c>
      <c r="J32" s="183">
        <f t="shared" si="4"/>
        <v>10000</v>
      </c>
      <c r="K32" s="183">
        <f>SUMIF('P5'!H$12:H$88,'CIP Summary'!C32,'P5'!J$12:J$88)</f>
        <v>0</v>
      </c>
      <c r="L32" s="108"/>
      <c r="M32" s="108"/>
      <c r="N32" s="108"/>
      <c r="O32" s="72"/>
      <c r="P32" s="103"/>
      <c r="Q32" s="103"/>
      <c r="R32" s="104"/>
    </row>
    <row r="33" spans="1:24" x14ac:dyDescent="0.3">
      <c r="A33" s="56">
        <v>5</v>
      </c>
      <c r="B33" s="182" t="s">
        <v>237</v>
      </c>
      <c r="C33" s="63">
        <v>2026</v>
      </c>
      <c r="D33" s="292"/>
      <c r="E33" s="183">
        <f>ROUNDUP(SUMIF('P5'!$H$12:$H$88,C33,'P5'!$E$12:$E$88),-4)</f>
        <v>20000</v>
      </c>
      <c r="F33" s="183">
        <f t="shared" si="1"/>
        <v>10000</v>
      </c>
      <c r="G33" s="184">
        <f t="shared" si="3"/>
        <v>30000</v>
      </c>
      <c r="H33" s="62">
        <f>ROUNDUP(SUMIF('P5'!$H$12:$H$88,C33,'P5'!$I$12:$I$88),-4)</f>
        <v>20000</v>
      </c>
      <c r="I33" s="183">
        <f t="shared" si="2"/>
        <v>10000</v>
      </c>
      <c r="J33" s="183">
        <f t="shared" si="4"/>
        <v>10000</v>
      </c>
      <c r="K33" s="183">
        <f>SUMIF('P5'!H$12:H$88,'CIP Summary'!C33,'P5'!J$12:J$88)</f>
        <v>0</v>
      </c>
      <c r="L33" s="108"/>
      <c r="M33" s="108"/>
      <c r="N33" s="108"/>
      <c r="O33" s="72"/>
      <c r="P33" s="103"/>
      <c r="Q33" s="103"/>
      <c r="R33" s="104"/>
    </row>
    <row r="34" spans="1:24" x14ac:dyDescent="0.3">
      <c r="A34" s="56">
        <v>5</v>
      </c>
      <c r="B34" s="182" t="s">
        <v>238</v>
      </c>
      <c r="C34" s="63">
        <v>2027</v>
      </c>
      <c r="D34" s="292"/>
      <c r="E34" s="183">
        <f>ROUNDUP(SUMIF('P5'!$H$12:$H$88,C34,'P5'!$E$12:$E$88),-4)</f>
        <v>4740000</v>
      </c>
      <c r="F34" s="183">
        <f t="shared" si="1"/>
        <v>480000</v>
      </c>
      <c r="G34" s="184">
        <f t="shared" si="3"/>
        <v>5220000</v>
      </c>
      <c r="H34" s="62">
        <f>ROUNDUP(SUMIF('P5'!$H$12:$H$88,C34,'P5'!$I$12:$I$88),-4)</f>
        <v>7010000</v>
      </c>
      <c r="I34" s="183">
        <f t="shared" si="2"/>
        <v>710000</v>
      </c>
      <c r="J34" s="183">
        <f t="shared" si="4"/>
        <v>6300000</v>
      </c>
      <c r="K34" s="183">
        <f>SUMIF('P5'!H$12:H$88,'CIP Summary'!C34,'P5'!J$12:J$88)</f>
        <v>0</v>
      </c>
      <c r="L34" s="101"/>
      <c r="M34" s="101"/>
      <c r="N34" s="101"/>
      <c r="O34" s="72"/>
      <c r="P34" s="103"/>
      <c r="Q34" s="103"/>
      <c r="R34" s="104"/>
    </row>
    <row r="35" spans="1:24" x14ac:dyDescent="0.3">
      <c r="A35" s="56">
        <v>5</v>
      </c>
      <c r="B35" s="182" t="s">
        <v>239</v>
      </c>
      <c r="C35" s="63">
        <v>2028</v>
      </c>
      <c r="D35" s="292"/>
      <c r="E35" s="183">
        <f>ROUNDUP(SUMIF('P5'!$H$12:$H$88,C35,'P5'!$E$12:$E$88),-4)</f>
        <v>20000</v>
      </c>
      <c r="F35" s="183">
        <f t="shared" si="1"/>
        <v>10000</v>
      </c>
      <c r="G35" s="184">
        <f t="shared" si="3"/>
        <v>30000</v>
      </c>
      <c r="H35" s="62">
        <f>ROUNDUP(SUMIF('P5'!$H$12:$H$88,C35,'P5'!$I$12:$I$88),-4)</f>
        <v>20000</v>
      </c>
      <c r="I35" s="183">
        <f t="shared" si="2"/>
        <v>10000</v>
      </c>
      <c r="J35" s="183">
        <f t="shared" si="4"/>
        <v>10000</v>
      </c>
      <c r="K35" s="183">
        <f>SUMIF('P5'!H$12:H$88,'CIP Summary'!C35,'P5'!J$12:J$88)</f>
        <v>0</v>
      </c>
      <c r="L35" s="101"/>
      <c r="M35" s="101"/>
      <c r="N35" s="101"/>
      <c r="O35" s="72"/>
      <c r="P35" s="103"/>
      <c r="Q35" s="103"/>
      <c r="R35" s="104"/>
    </row>
    <row r="36" spans="1:24" x14ac:dyDescent="0.3">
      <c r="A36" s="56">
        <v>5</v>
      </c>
      <c r="B36" s="182" t="s">
        <v>240</v>
      </c>
      <c r="C36" s="63">
        <v>2029</v>
      </c>
      <c r="D36" s="292"/>
      <c r="E36" s="183">
        <f>ROUNDUP(SUMIF('P5'!$H$12:$H$88,C36,'P5'!$E$12:$E$88),-4)</f>
        <v>20000</v>
      </c>
      <c r="F36" s="183">
        <f t="shared" si="1"/>
        <v>10000</v>
      </c>
      <c r="G36" s="184">
        <f t="shared" si="3"/>
        <v>30000</v>
      </c>
      <c r="H36" s="62">
        <f>ROUNDUP(SUMIF('P5'!$H$12:$H$88,C36,'P5'!$I$12:$I$88),-4)</f>
        <v>20000</v>
      </c>
      <c r="I36" s="183">
        <f t="shared" si="2"/>
        <v>10000</v>
      </c>
      <c r="J36" s="183">
        <f t="shared" si="4"/>
        <v>10000</v>
      </c>
      <c r="K36" s="183">
        <f>SUMIF('P5'!H$12:H$88,'CIP Summary'!C36,'P5'!J$12:J$88)</f>
        <v>0</v>
      </c>
      <c r="L36" s="101"/>
      <c r="M36" s="101"/>
      <c r="N36" s="101"/>
      <c r="O36" s="72"/>
      <c r="P36" s="103"/>
      <c r="Q36" s="103"/>
      <c r="R36" s="104"/>
    </row>
    <row r="37" spans="1:24" x14ac:dyDescent="0.3">
      <c r="A37" s="56">
        <v>5</v>
      </c>
      <c r="B37" s="182" t="s">
        <v>241</v>
      </c>
      <c r="C37" s="63">
        <v>2030</v>
      </c>
      <c r="D37" s="292"/>
      <c r="E37" s="183">
        <f>ROUNDUP(SUMIF('P5'!$H$12:$H$88,C37,'P5'!$E$12:$E$88),-4)</f>
        <v>20000</v>
      </c>
      <c r="F37" s="183">
        <f t="shared" si="1"/>
        <v>10000</v>
      </c>
      <c r="G37" s="184">
        <f t="shared" si="3"/>
        <v>30000</v>
      </c>
      <c r="H37" s="62">
        <f>ROUNDUP(SUMIF('P5'!$H$12:$H$88,C37,'P5'!$I$12:$I$88),-4)</f>
        <v>20000</v>
      </c>
      <c r="I37" s="183">
        <f t="shared" si="2"/>
        <v>10000</v>
      </c>
      <c r="J37" s="183">
        <f t="shared" si="4"/>
        <v>10000</v>
      </c>
      <c r="K37" s="183">
        <f>SUMIF('P5'!H$12:H$88,'CIP Summary'!C37,'P5'!J$12:J$88)</f>
        <v>0</v>
      </c>
      <c r="L37" s="101"/>
      <c r="M37" s="101"/>
      <c r="N37" s="101"/>
      <c r="O37" s="72"/>
      <c r="P37" s="103"/>
      <c r="Q37" s="103"/>
      <c r="R37" s="104"/>
    </row>
    <row r="38" spans="1:24" x14ac:dyDescent="0.3">
      <c r="A38" s="56">
        <v>5</v>
      </c>
      <c r="B38" s="182" t="s">
        <v>242</v>
      </c>
      <c r="C38" s="63">
        <v>2031</v>
      </c>
      <c r="D38" s="292"/>
      <c r="E38" s="183">
        <f>ROUNDUP(SUMIF('P5'!$H$12:$H$88,C38,'P5'!$E$12:$E$88),-4)</f>
        <v>20000</v>
      </c>
      <c r="F38" s="183">
        <f t="shared" si="1"/>
        <v>10000</v>
      </c>
      <c r="G38" s="184">
        <f t="shared" si="3"/>
        <v>30000</v>
      </c>
      <c r="H38" s="62">
        <f>ROUNDUP(SUMIF('P5'!$H$12:$H$88,C38,'P5'!$I$12:$I$88),-4)</f>
        <v>20000</v>
      </c>
      <c r="I38" s="183">
        <f t="shared" si="2"/>
        <v>10000</v>
      </c>
      <c r="J38" s="183">
        <f t="shared" si="4"/>
        <v>10000</v>
      </c>
      <c r="K38" s="183">
        <f>SUMIF('P5'!H$12:H$88,'CIP Summary'!C38,'P5'!J$12:J$88)</f>
        <v>0</v>
      </c>
      <c r="L38" s="101"/>
      <c r="M38" s="101"/>
      <c r="N38" s="101"/>
      <c r="O38" s="72"/>
      <c r="P38" s="103"/>
      <c r="Q38" s="103"/>
      <c r="R38" s="104"/>
    </row>
    <row r="39" spans="1:24" x14ac:dyDescent="0.3">
      <c r="A39" s="56">
        <v>5</v>
      </c>
      <c r="B39" s="182" t="s">
        <v>243</v>
      </c>
      <c r="C39" s="63">
        <v>2032</v>
      </c>
      <c r="D39" s="292"/>
      <c r="E39" s="183">
        <f>ROUNDUP(SUMIF('P5'!$H$12:$H$88,C39,'P5'!$E$12:$E$88),-4)</f>
        <v>2260000</v>
      </c>
      <c r="F39" s="183">
        <f t="shared" si="1"/>
        <v>230000</v>
      </c>
      <c r="G39" s="184">
        <f t="shared" si="3"/>
        <v>2490000</v>
      </c>
      <c r="H39" s="62">
        <f>ROUNDUP(SUMIF('P5'!$H$12:$H$88,C39,'P5'!$I$12:$I$88),-4)</f>
        <v>3860000</v>
      </c>
      <c r="I39" s="183">
        <f t="shared" si="2"/>
        <v>390000</v>
      </c>
      <c r="J39" s="183">
        <f t="shared" si="4"/>
        <v>3470000</v>
      </c>
      <c r="K39" s="183">
        <f>SUMIF('P5'!H$12:H$88,'CIP Summary'!C39,'P5'!J$12:J$88)</f>
        <v>0</v>
      </c>
      <c r="L39" s="101"/>
      <c r="M39" s="101"/>
      <c r="N39" s="101"/>
      <c r="O39" s="72"/>
      <c r="P39" s="103"/>
      <c r="Q39" s="103"/>
      <c r="R39" s="104"/>
    </row>
    <row r="40" spans="1:24" x14ac:dyDescent="0.3">
      <c r="A40" s="56">
        <v>5</v>
      </c>
      <c r="B40" s="182" t="s">
        <v>244</v>
      </c>
      <c r="C40" s="63">
        <v>2033</v>
      </c>
      <c r="D40" s="292"/>
      <c r="E40" s="183">
        <f>ROUNDUP(SUMIF('P5'!$H$12:$H$88,C40,'P5'!$E$12:$E$88),-4)</f>
        <v>20000</v>
      </c>
      <c r="F40" s="183">
        <f t="shared" si="1"/>
        <v>10000</v>
      </c>
      <c r="G40" s="184">
        <f t="shared" si="3"/>
        <v>30000</v>
      </c>
      <c r="H40" s="62">
        <f>ROUNDUP(SUMIF('P5'!$H$12:$H$88,C40,'P5'!$I$12:$I$88),-4)</f>
        <v>30000</v>
      </c>
      <c r="I40" s="183">
        <f t="shared" si="2"/>
        <v>10000</v>
      </c>
      <c r="J40" s="183">
        <f t="shared" si="4"/>
        <v>20000</v>
      </c>
      <c r="K40" s="183">
        <f>SUMIF('P5'!H$12:H$88,'CIP Summary'!C40,'P5'!J$12:J$88)</f>
        <v>0</v>
      </c>
      <c r="L40" s="101"/>
      <c r="M40" s="101"/>
      <c r="N40" s="101"/>
      <c r="O40" s="72"/>
      <c r="P40" s="103"/>
      <c r="Q40" s="103"/>
      <c r="R40" s="104"/>
    </row>
    <row r="41" spans="1:24" x14ac:dyDescent="0.3">
      <c r="A41" s="56">
        <v>5</v>
      </c>
      <c r="B41" s="182" t="s">
        <v>245</v>
      </c>
      <c r="C41" s="63">
        <v>2034</v>
      </c>
      <c r="D41" s="292"/>
      <c r="E41" s="183">
        <f>ROUNDUP(SUMIF('P5'!$H$12:$H$88,C41,'P5'!$E$12:$E$88),-4)</f>
        <v>20000</v>
      </c>
      <c r="F41" s="183">
        <f t="shared" si="1"/>
        <v>10000</v>
      </c>
      <c r="G41" s="184">
        <f t="shared" si="3"/>
        <v>30000</v>
      </c>
      <c r="H41" s="62">
        <f>ROUNDUP(SUMIF('P5'!$H$12:$H$88,C41,'P5'!$I$12:$I$88),-4)</f>
        <v>30000</v>
      </c>
      <c r="I41" s="183">
        <f t="shared" si="2"/>
        <v>10000</v>
      </c>
      <c r="J41" s="183">
        <f t="shared" si="4"/>
        <v>20000</v>
      </c>
      <c r="K41" s="183">
        <f>SUMIF('P5'!H$12:H$88,'CIP Summary'!C41,'P5'!J$12:J$88)</f>
        <v>0</v>
      </c>
      <c r="L41" s="101"/>
      <c r="M41" s="101"/>
      <c r="N41" s="101"/>
      <c r="O41" s="72"/>
      <c r="P41" s="103"/>
      <c r="Q41" s="103"/>
      <c r="R41" s="104"/>
    </row>
    <row r="42" spans="1:24" x14ac:dyDescent="0.3">
      <c r="A42" s="56">
        <v>5</v>
      </c>
      <c r="B42" s="182" t="s">
        <v>246</v>
      </c>
      <c r="C42" s="63">
        <v>2035</v>
      </c>
      <c r="D42" s="292"/>
      <c r="E42" s="183">
        <f>ROUNDUP(SUMIF('P5'!$H$12:$H$88,C42,'P5'!$E$12:$E$88),-4)</f>
        <v>20000</v>
      </c>
      <c r="F42" s="183">
        <f t="shared" si="1"/>
        <v>10000</v>
      </c>
      <c r="G42" s="184">
        <f t="shared" si="3"/>
        <v>30000</v>
      </c>
      <c r="H42" s="62">
        <f>ROUNDUP(SUMIF('P5'!$H$12:$H$88,C42,'P5'!$I$12:$I$88),-4)</f>
        <v>30000</v>
      </c>
      <c r="I42" s="183">
        <f t="shared" si="2"/>
        <v>10000</v>
      </c>
      <c r="J42" s="183">
        <f t="shared" si="4"/>
        <v>20000</v>
      </c>
      <c r="K42" s="183">
        <f>SUMIF('P5'!H$12:H$88,'CIP Summary'!C42,'P5'!J$12:J$88)</f>
        <v>0</v>
      </c>
      <c r="L42" s="101"/>
      <c r="M42" s="101"/>
      <c r="N42" s="101"/>
      <c r="O42" s="72"/>
      <c r="P42" s="103"/>
      <c r="Q42" s="103"/>
      <c r="R42" s="104"/>
    </row>
    <row r="43" spans="1:24" x14ac:dyDescent="0.3">
      <c r="A43" s="56">
        <v>5</v>
      </c>
      <c r="B43" s="182" t="s">
        <v>247</v>
      </c>
      <c r="C43" s="63">
        <v>2036</v>
      </c>
      <c r="D43" s="292"/>
      <c r="E43" s="183">
        <f>ROUNDUP(SUMIF('P5'!$H$12:$H$88,C43,'P5'!$E$12:$E$88),-4)</f>
        <v>3090000</v>
      </c>
      <c r="F43" s="183">
        <f t="shared" si="1"/>
        <v>310000</v>
      </c>
      <c r="G43" s="184">
        <f t="shared" si="3"/>
        <v>3400000</v>
      </c>
      <c r="H43" s="62">
        <f>ROUNDUP(SUMIF('P5'!$H$12:$H$88,C43,'P5'!$I$12:$I$88),-4)</f>
        <v>5960000</v>
      </c>
      <c r="I43" s="183">
        <f t="shared" si="2"/>
        <v>600000</v>
      </c>
      <c r="J43" s="183">
        <f t="shared" si="4"/>
        <v>5360000</v>
      </c>
      <c r="K43" s="183">
        <f>SUMIF('P5'!H$12:H$88,'CIP Summary'!C43,'P5'!J$12:J$88)</f>
        <v>0</v>
      </c>
      <c r="L43" s="101"/>
      <c r="M43" s="101"/>
      <c r="N43" s="101"/>
      <c r="O43" s="72"/>
      <c r="P43" s="103"/>
      <c r="Q43" s="103"/>
      <c r="R43" s="104"/>
    </row>
    <row r="44" spans="1:24" x14ac:dyDescent="0.3">
      <c r="A44" s="203"/>
      <c r="B44" s="348"/>
      <c r="C44" s="278"/>
      <c r="D44" s="278"/>
      <c r="E44" s="199"/>
      <c r="F44" s="200"/>
      <c r="G44" s="349"/>
      <c r="H44" s="278"/>
      <c r="I44" s="350"/>
      <c r="J44" s="350"/>
      <c r="K44" s="364"/>
      <c r="L44" s="101"/>
      <c r="M44" s="101"/>
      <c r="N44" s="72"/>
      <c r="O44" s="103"/>
      <c r="P44" s="103"/>
      <c r="Q44" s="104"/>
    </row>
    <row r="45" spans="1:24" x14ac:dyDescent="0.3">
      <c r="A45" s="367">
        <v>5</v>
      </c>
      <c r="B45" s="368" t="s">
        <v>175</v>
      </c>
      <c r="C45" s="369"/>
      <c r="D45" s="369"/>
      <c r="E45" s="370">
        <f>ROUNDUP(SUM('P5'!E12:E88),-4)</f>
        <v>16130000</v>
      </c>
      <c r="F45" s="371">
        <f>G45-E45</f>
        <v>1610000</v>
      </c>
      <c r="G45" s="371">
        <f>ROUND(SUM('P5'!G12:G88),-4)</f>
        <v>17740000</v>
      </c>
      <c r="H45" s="371">
        <f>SUM(H26:H43)</f>
        <v>24400000</v>
      </c>
      <c r="I45" s="371">
        <f t="shared" ref="I45:J45" si="5">SUM(I26:I43)</f>
        <v>2560000</v>
      </c>
      <c r="J45" s="371">
        <f t="shared" si="5"/>
        <v>21840000</v>
      </c>
      <c r="K45" s="365">
        <f>ROUND(SUM('P5'!J12:J88),-4)</f>
        <v>0</v>
      </c>
      <c r="L45" s="37"/>
      <c r="M45" s="37"/>
      <c r="N45" s="37"/>
      <c r="O45" s="37"/>
      <c r="P45" s="103"/>
      <c r="Q45" s="103"/>
      <c r="R45" s="101"/>
      <c r="S45" s="101"/>
      <c r="T45" s="101"/>
      <c r="U45" s="72"/>
      <c r="V45" s="103"/>
      <c r="W45" s="103"/>
      <c r="X45" s="104"/>
    </row>
    <row r="46" spans="1:24" x14ac:dyDescent="0.3">
      <c r="A46" s="208" t="s">
        <v>3</v>
      </c>
      <c r="B46" s="209"/>
      <c r="C46" s="2"/>
      <c r="D46" s="209"/>
      <c r="E46" s="209"/>
      <c r="F46" s="217"/>
      <c r="G46" s="209"/>
      <c r="H46" s="103"/>
      <c r="I46" s="37"/>
      <c r="J46" s="227"/>
      <c r="K46" s="375"/>
      <c r="L46" s="37"/>
      <c r="M46" s="37"/>
      <c r="N46" s="37"/>
      <c r="O46" s="103"/>
      <c r="P46" s="103"/>
      <c r="Q46" s="101"/>
      <c r="R46" s="101"/>
      <c r="S46" s="101"/>
      <c r="T46" s="72"/>
      <c r="U46" s="103"/>
      <c r="V46" s="103"/>
      <c r="W46" s="104"/>
    </row>
    <row r="47" spans="1:24" x14ac:dyDescent="0.3">
      <c r="A47" s="188" t="s">
        <v>2</v>
      </c>
      <c r="B47" s="418" t="str">
        <f>"In "&amp;TEXT(estimate_date,"mm/yy")&amp;" dollars. Assuming "&amp;Design*100&amp;"% contingency for Design and "&amp;Admin*100&amp;"% for legal and administration costs."</f>
        <v>In 09/17 dollars. Assuming 15% contingency for Design and 10% for legal and administration costs.</v>
      </c>
      <c r="C47" s="418"/>
      <c r="D47" s="418"/>
      <c r="E47" s="418"/>
      <c r="F47" s="418"/>
      <c r="G47" s="16"/>
      <c r="H47" s="103"/>
      <c r="I47" s="37"/>
      <c r="J47" s="37"/>
      <c r="K47" s="351"/>
      <c r="L47" s="37"/>
      <c r="M47" s="37"/>
      <c r="N47" s="37"/>
      <c r="O47" s="103"/>
      <c r="P47" s="103"/>
      <c r="Q47" s="101"/>
      <c r="R47" s="101"/>
      <c r="S47" s="101"/>
      <c r="T47" s="72"/>
      <c r="U47" s="103"/>
      <c r="V47" s="103"/>
      <c r="W47" s="104"/>
    </row>
    <row r="48" spans="1:24" ht="14.4" customHeight="1" x14ac:dyDescent="0.3">
      <c r="A48" s="218" t="s">
        <v>190</v>
      </c>
      <c r="B48" s="419" t="s">
        <v>191</v>
      </c>
      <c r="C48" s="419"/>
      <c r="D48" s="419"/>
      <c r="E48" s="419"/>
      <c r="F48" s="419"/>
      <c r="G48" s="16"/>
      <c r="H48" s="103"/>
      <c r="I48" s="37"/>
      <c r="J48" s="37"/>
      <c r="K48" s="351"/>
      <c r="L48" s="37"/>
      <c r="M48" s="37"/>
      <c r="N48" s="37"/>
      <c r="O48" s="37"/>
      <c r="P48" s="103"/>
      <c r="Q48" s="103"/>
      <c r="R48" s="101"/>
      <c r="S48" s="101"/>
      <c r="T48" s="101"/>
      <c r="U48" s="72"/>
      <c r="V48" s="103"/>
      <c r="W48" s="103"/>
      <c r="X48" s="104"/>
    </row>
    <row r="49" spans="1:24" x14ac:dyDescent="0.3">
      <c r="A49" s="219"/>
      <c r="B49" s="420"/>
      <c r="C49" s="420"/>
      <c r="D49" s="420"/>
      <c r="E49" s="420"/>
      <c r="F49" s="420"/>
      <c r="G49" s="137"/>
      <c r="H49" s="352"/>
      <c r="I49" s="366"/>
      <c r="J49" s="366"/>
      <c r="K49" s="353"/>
      <c r="L49" s="37"/>
      <c r="M49" s="37"/>
      <c r="N49" s="37"/>
      <c r="O49" s="37"/>
      <c r="P49" s="103"/>
      <c r="Q49" s="103"/>
      <c r="R49" s="101"/>
      <c r="S49" s="101"/>
      <c r="T49" s="101"/>
      <c r="U49" s="72"/>
      <c r="V49" s="103"/>
      <c r="W49" s="103"/>
      <c r="X49" s="104"/>
    </row>
    <row r="50" spans="1:24" x14ac:dyDescent="0.3">
      <c r="A50" s="101"/>
      <c r="B50" s="73"/>
      <c r="C50" s="106"/>
      <c r="D50" s="68"/>
      <c r="E50" s="69"/>
      <c r="F50" s="70"/>
      <c r="H50" s="103"/>
      <c r="I50" s="37"/>
      <c r="J50" s="37"/>
      <c r="K50" s="37"/>
      <c r="L50" s="37"/>
      <c r="M50" s="37"/>
      <c r="N50" s="37"/>
      <c r="O50" s="37"/>
      <c r="P50" s="103"/>
      <c r="Q50" s="103"/>
      <c r="R50" s="101"/>
      <c r="S50" s="101"/>
      <c r="T50" s="101"/>
      <c r="U50" s="72"/>
      <c r="V50" s="103"/>
      <c r="W50" s="103"/>
      <c r="X50" s="104"/>
    </row>
    <row r="51" spans="1:24" x14ac:dyDescent="0.3">
      <c r="A51" s="101"/>
      <c r="B51" s="73"/>
      <c r="C51" s="74"/>
      <c r="D51" s="68"/>
      <c r="E51" s="69"/>
      <c r="F51" s="70"/>
      <c r="H51" s="103"/>
      <c r="I51" s="37"/>
      <c r="J51" s="37"/>
      <c r="K51" s="37"/>
      <c r="L51" s="37"/>
      <c r="M51" s="37"/>
      <c r="N51" s="37"/>
      <c r="O51" s="37"/>
      <c r="P51" s="103"/>
      <c r="Q51" s="103"/>
      <c r="R51" s="101"/>
      <c r="S51" s="101"/>
      <c r="T51" s="101"/>
      <c r="U51" s="72"/>
      <c r="V51" s="103"/>
      <c r="W51" s="103"/>
      <c r="X51" s="104"/>
    </row>
    <row r="52" spans="1:24" x14ac:dyDescent="0.3">
      <c r="A52" s="101"/>
      <c r="B52" s="73"/>
      <c r="C52" s="74"/>
      <c r="D52" s="68"/>
      <c r="E52" s="69"/>
      <c r="F52" s="70"/>
      <c r="H52" s="103"/>
      <c r="I52" s="37"/>
      <c r="J52" s="37"/>
      <c r="K52" s="37"/>
      <c r="L52" s="37"/>
      <c r="M52" s="37"/>
      <c r="N52" s="37"/>
      <c r="O52" s="37"/>
      <c r="P52" s="103"/>
      <c r="Q52" s="103"/>
      <c r="R52" s="101"/>
      <c r="S52" s="101"/>
      <c r="T52" s="101"/>
      <c r="U52" s="72"/>
      <c r="V52" s="103"/>
      <c r="W52" s="103"/>
      <c r="X52" s="104"/>
    </row>
    <row r="53" spans="1:24" x14ac:dyDescent="0.3">
      <c r="A53" s="101"/>
      <c r="B53" s="73"/>
      <c r="C53" s="74"/>
      <c r="D53" s="68"/>
      <c r="E53" s="69"/>
      <c r="F53" s="70"/>
      <c r="G53" s="70"/>
      <c r="H53" s="37"/>
      <c r="I53" s="37"/>
      <c r="J53" s="37"/>
      <c r="K53" s="37"/>
      <c r="L53" s="37"/>
      <c r="M53" s="37"/>
      <c r="N53" s="37"/>
      <c r="O53" s="37"/>
      <c r="P53" s="103"/>
      <c r="Q53" s="103"/>
      <c r="R53" s="101"/>
      <c r="S53" s="101"/>
      <c r="T53" s="101"/>
      <c r="U53" s="72"/>
      <c r="V53" s="103"/>
      <c r="W53" s="103"/>
      <c r="X53" s="104"/>
    </row>
    <row r="54" spans="1:24" x14ac:dyDescent="0.3">
      <c r="A54" s="101"/>
      <c r="B54" s="73"/>
      <c r="C54" s="74"/>
      <c r="D54" s="68"/>
      <c r="E54" s="69"/>
      <c r="F54" s="70"/>
      <c r="G54" s="70"/>
      <c r="H54" s="37"/>
      <c r="I54" s="37"/>
      <c r="J54" s="37"/>
      <c r="K54" s="37"/>
      <c r="L54" s="37"/>
      <c r="M54" s="37"/>
      <c r="N54" s="37"/>
      <c r="O54" s="37"/>
      <c r="P54" s="103"/>
      <c r="Q54" s="103"/>
      <c r="R54" s="101"/>
      <c r="S54" s="101"/>
      <c r="T54" s="101"/>
      <c r="U54" s="72"/>
      <c r="V54" s="103"/>
      <c r="W54" s="103"/>
      <c r="X54" s="104"/>
    </row>
    <row r="55" spans="1:24" x14ac:dyDescent="0.3">
      <c r="A55" s="101"/>
      <c r="B55" s="73"/>
      <c r="C55" s="74"/>
      <c r="D55" s="68"/>
      <c r="E55" s="69"/>
      <c r="F55" s="70"/>
      <c r="G55" s="70"/>
      <c r="H55" s="37"/>
      <c r="I55" s="37"/>
      <c r="J55" s="37"/>
      <c r="K55" s="37"/>
      <c r="L55" s="37"/>
      <c r="M55" s="37"/>
      <c r="N55" s="37"/>
      <c r="O55" s="37"/>
      <c r="P55" s="103"/>
      <c r="Q55" s="103"/>
      <c r="R55" s="101"/>
      <c r="S55" s="101"/>
      <c r="T55" s="101"/>
      <c r="U55" s="72"/>
      <c r="V55" s="103"/>
      <c r="W55" s="103"/>
      <c r="X55" s="104"/>
    </row>
    <row r="56" spans="1:24" x14ac:dyDescent="0.3">
      <c r="A56" s="101"/>
      <c r="B56" s="73"/>
      <c r="C56" s="74"/>
      <c r="D56" s="68"/>
      <c r="E56" s="69"/>
      <c r="F56" s="70"/>
      <c r="G56" s="70"/>
      <c r="H56" s="37"/>
      <c r="I56" s="37"/>
      <c r="J56" s="37"/>
      <c r="K56" s="37"/>
      <c r="L56" s="37"/>
      <c r="M56" s="37"/>
      <c r="N56" s="37"/>
      <c r="O56" s="37"/>
      <c r="P56" s="103"/>
      <c r="Q56" s="103"/>
      <c r="R56" s="101"/>
      <c r="S56" s="101"/>
      <c r="T56" s="101"/>
      <c r="U56" s="72"/>
      <c r="V56" s="103"/>
      <c r="W56" s="103"/>
      <c r="X56" s="104"/>
    </row>
    <row r="57" spans="1:24" x14ac:dyDescent="0.3">
      <c r="A57" s="101"/>
      <c r="B57" s="73"/>
      <c r="C57" s="74"/>
      <c r="D57" s="68"/>
      <c r="E57" s="69"/>
      <c r="F57" s="70"/>
      <c r="G57" s="70"/>
      <c r="H57" s="37"/>
      <c r="I57" s="37"/>
      <c r="J57" s="37"/>
      <c r="K57" s="37"/>
      <c r="L57" s="37"/>
      <c r="M57" s="37"/>
      <c r="N57" s="37"/>
      <c r="O57" s="37"/>
      <c r="P57" s="103"/>
      <c r="Q57" s="103"/>
      <c r="R57" s="101"/>
      <c r="S57" s="101"/>
      <c r="T57" s="101"/>
      <c r="U57" s="72"/>
      <c r="V57" s="103"/>
      <c r="W57" s="103"/>
      <c r="X57" s="104"/>
    </row>
    <row r="58" spans="1:24" x14ac:dyDescent="0.3">
      <c r="A58" s="101"/>
      <c r="B58" s="73"/>
      <c r="C58" s="74"/>
      <c r="D58" s="68"/>
      <c r="E58" s="69"/>
      <c r="F58" s="70"/>
      <c r="G58" s="70"/>
      <c r="H58" s="37"/>
      <c r="I58" s="37"/>
      <c r="J58" s="37"/>
      <c r="K58" s="37"/>
      <c r="L58" s="37"/>
      <c r="M58" s="37"/>
      <c r="N58" s="37"/>
      <c r="O58" s="37"/>
      <c r="P58" s="103"/>
      <c r="Q58" s="103"/>
      <c r="R58" s="101"/>
      <c r="S58" s="101"/>
      <c r="T58" s="101"/>
      <c r="U58" s="72"/>
      <c r="V58" s="103"/>
      <c r="W58" s="103"/>
      <c r="X58" s="104"/>
    </row>
    <row r="59" spans="1:24" x14ac:dyDescent="0.3">
      <c r="A59" s="101"/>
      <c r="B59" s="73"/>
      <c r="C59" s="74"/>
      <c r="D59" s="68"/>
      <c r="E59" s="69"/>
      <c r="F59" s="70"/>
      <c r="G59" s="70"/>
      <c r="H59" s="37"/>
      <c r="I59" s="37"/>
      <c r="J59" s="37"/>
      <c r="K59" s="37"/>
      <c r="L59" s="37"/>
      <c r="M59" s="37"/>
      <c r="N59" s="37"/>
      <c r="O59" s="37"/>
      <c r="P59" s="103"/>
      <c r="Q59" s="103"/>
      <c r="R59" s="108"/>
      <c r="S59" s="108"/>
      <c r="T59" s="108"/>
      <c r="U59" s="72"/>
      <c r="V59" s="103"/>
      <c r="W59" s="103"/>
      <c r="X59" s="104"/>
    </row>
    <row r="60" spans="1:24" x14ac:dyDescent="0.3">
      <c r="A60" s="101"/>
      <c r="B60" s="73"/>
      <c r="C60" s="74"/>
      <c r="D60" s="68"/>
      <c r="E60" s="69"/>
      <c r="F60" s="70"/>
      <c r="G60" s="70"/>
      <c r="H60" s="37"/>
      <c r="I60" s="37"/>
      <c r="J60" s="37"/>
      <c r="K60" s="37"/>
      <c r="L60" s="37"/>
      <c r="M60" s="37"/>
      <c r="N60" s="37"/>
      <c r="O60" s="37"/>
      <c r="P60" s="103"/>
      <c r="Q60" s="103"/>
      <c r="R60" s="101"/>
      <c r="S60" s="101"/>
      <c r="T60" s="101"/>
      <c r="U60" s="72"/>
      <c r="V60" s="103"/>
      <c r="W60" s="103"/>
      <c r="X60" s="104"/>
    </row>
    <row r="61" spans="1:24" x14ac:dyDescent="0.3">
      <c r="A61" s="101"/>
      <c r="B61" s="73"/>
      <c r="C61" s="106"/>
      <c r="D61" s="68"/>
      <c r="E61" s="69"/>
      <c r="F61" s="70"/>
      <c r="G61" s="70"/>
      <c r="H61" s="37"/>
      <c r="I61" s="37"/>
      <c r="J61" s="37"/>
      <c r="K61" s="37"/>
      <c r="L61" s="37"/>
      <c r="M61" s="37"/>
      <c r="N61" s="37"/>
      <c r="O61" s="37"/>
      <c r="P61" s="103"/>
      <c r="Q61" s="103"/>
      <c r="R61" s="101"/>
      <c r="S61" s="101"/>
      <c r="T61" s="101"/>
      <c r="U61" s="72"/>
      <c r="V61" s="103"/>
      <c r="W61" s="103"/>
      <c r="X61" s="104"/>
    </row>
    <row r="62" spans="1:24" x14ac:dyDescent="0.3">
      <c r="A62" s="101"/>
      <c r="B62" s="73"/>
      <c r="C62" s="106"/>
      <c r="D62" s="68"/>
      <c r="E62" s="69"/>
      <c r="F62" s="70"/>
      <c r="G62" s="70"/>
      <c r="H62" s="37"/>
      <c r="I62" s="37"/>
      <c r="J62" s="37"/>
      <c r="K62" s="37"/>
      <c r="L62" s="37"/>
      <c r="M62" s="37"/>
      <c r="N62" s="37"/>
      <c r="O62" s="37"/>
      <c r="P62" s="103"/>
      <c r="Q62" s="103"/>
      <c r="R62" s="101"/>
      <c r="S62" s="101"/>
      <c r="T62" s="101"/>
      <c r="U62" s="72"/>
      <c r="V62" s="103"/>
      <c r="W62" s="103"/>
      <c r="X62" s="104"/>
    </row>
    <row r="63" spans="1:24" x14ac:dyDescent="0.3">
      <c r="A63" s="101"/>
      <c r="B63" s="73"/>
      <c r="C63" s="106"/>
      <c r="D63" s="68"/>
      <c r="E63" s="69"/>
      <c r="F63" s="70"/>
      <c r="G63" s="70"/>
      <c r="H63" s="37"/>
      <c r="I63" s="37"/>
      <c r="J63" s="37"/>
      <c r="K63" s="37"/>
      <c r="L63" s="37"/>
      <c r="M63" s="37"/>
      <c r="N63" s="37"/>
      <c r="O63" s="37"/>
      <c r="P63" s="103"/>
      <c r="Q63" s="103"/>
      <c r="R63" s="101"/>
      <c r="S63" s="101"/>
      <c r="T63" s="101"/>
      <c r="U63" s="72"/>
      <c r="V63" s="103"/>
      <c r="W63" s="103"/>
      <c r="X63" s="104"/>
    </row>
    <row r="64" spans="1:24" x14ac:dyDescent="0.3">
      <c r="A64" s="101"/>
      <c r="B64" s="73"/>
      <c r="C64" s="106"/>
      <c r="D64" s="68"/>
      <c r="E64" s="69"/>
      <c r="F64" s="70"/>
      <c r="G64" s="70"/>
      <c r="H64" s="37"/>
      <c r="I64" s="37"/>
      <c r="J64" s="37"/>
      <c r="K64" s="37"/>
      <c r="L64" s="37"/>
      <c r="M64" s="37"/>
      <c r="N64" s="37"/>
      <c r="O64" s="37"/>
      <c r="P64" s="103"/>
      <c r="Q64" s="103"/>
      <c r="R64" s="101"/>
      <c r="S64" s="101"/>
      <c r="T64" s="101"/>
      <c r="U64" s="72"/>
      <c r="V64" s="103"/>
      <c r="W64" s="103"/>
      <c r="X64" s="104"/>
    </row>
    <row r="65" spans="1:24" x14ac:dyDescent="0.3">
      <c r="A65" s="101"/>
      <c r="B65" s="73"/>
      <c r="C65" s="74"/>
      <c r="D65" s="68"/>
      <c r="E65" s="69"/>
      <c r="F65" s="70"/>
      <c r="G65" s="70"/>
      <c r="H65" s="37"/>
      <c r="I65" s="37"/>
      <c r="J65" s="37"/>
      <c r="K65" s="37"/>
      <c r="L65" s="37"/>
      <c r="M65" s="37"/>
      <c r="N65" s="37"/>
      <c r="O65" s="37"/>
      <c r="P65" s="103"/>
      <c r="Q65" s="103"/>
      <c r="R65" s="101"/>
      <c r="S65" s="101"/>
      <c r="T65" s="101"/>
      <c r="U65" s="72"/>
      <c r="V65" s="103"/>
      <c r="W65" s="103"/>
      <c r="X65" s="104"/>
    </row>
    <row r="66" spans="1:24" x14ac:dyDescent="0.3">
      <c r="A66" s="101"/>
      <c r="B66" s="73"/>
      <c r="C66" s="74"/>
      <c r="D66" s="68"/>
      <c r="E66" s="69"/>
      <c r="F66" s="70"/>
      <c r="G66" s="70"/>
      <c r="H66" s="37"/>
      <c r="I66" s="37"/>
      <c r="J66" s="37"/>
      <c r="K66" s="37"/>
      <c r="L66" s="37"/>
      <c r="M66" s="37"/>
      <c r="N66" s="37"/>
      <c r="O66" s="37"/>
      <c r="P66" s="103"/>
      <c r="Q66" s="103"/>
      <c r="R66" s="101"/>
      <c r="S66" s="101"/>
      <c r="T66" s="101"/>
      <c r="U66" s="72"/>
      <c r="V66" s="103"/>
      <c r="W66" s="103"/>
      <c r="X66" s="104"/>
    </row>
    <row r="67" spans="1:24" x14ac:dyDescent="0.3">
      <c r="A67" s="101"/>
      <c r="B67" s="73"/>
      <c r="C67" s="74"/>
      <c r="D67" s="68"/>
      <c r="E67" s="69"/>
      <c r="F67" s="70"/>
      <c r="G67" s="70"/>
      <c r="H67" s="37"/>
      <c r="I67" s="37"/>
      <c r="J67" s="37"/>
      <c r="K67" s="37"/>
      <c r="L67" s="37"/>
      <c r="M67" s="37"/>
      <c r="N67" s="37"/>
      <c r="O67" s="37"/>
      <c r="P67" s="103"/>
      <c r="Q67" s="103"/>
      <c r="R67" s="101"/>
      <c r="S67" s="101"/>
      <c r="T67" s="101"/>
      <c r="U67" s="72"/>
      <c r="V67" s="103"/>
      <c r="W67" s="103"/>
      <c r="X67" s="104"/>
    </row>
    <row r="68" spans="1:24" x14ac:dyDescent="0.3">
      <c r="A68" s="101"/>
      <c r="B68" s="73"/>
      <c r="C68" s="74"/>
      <c r="D68" s="68"/>
      <c r="E68" s="69"/>
      <c r="F68" s="70"/>
      <c r="G68" s="70"/>
      <c r="H68" s="37"/>
      <c r="I68" s="37"/>
      <c r="J68" s="37"/>
      <c r="K68" s="37"/>
      <c r="L68" s="37"/>
      <c r="M68" s="37"/>
      <c r="N68" s="37"/>
      <c r="O68" s="37"/>
      <c r="P68" s="103"/>
      <c r="Q68" s="103"/>
      <c r="R68" s="101"/>
      <c r="S68" s="101"/>
      <c r="T68" s="101"/>
      <c r="U68" s="72"/>
      <c r="V68" s="103"/>
      <c r="W68" s="103"/>
      <c r="X68" s="104"/>
    </row>
    <row r="69" spans="1:24" x14ac:dyDescent="0.3">
      <c r="A69" s="101"/>
      <c r="B69" s="73"/>
      <c r="C69" s="74"/>
      <c r="D69" s="68"/>
      <c r="E69" s="69"/>
      <c r="F69" s="70"/>
      <c r="G69" s="70"/>
      <c r="H69" s="37"/>
      <c r="I69" s="37"/>
      <c r="J69" s="37"/>
      <c r="K69" s="37"/>
      <c r="L69" s="37"/>
      <c r="M69" s="37"/>
      <c r="N69" s="37"/>
      <c r="O69" s="37"/>
      <c r="P69" s="103"/>
      <c r="Q69" s="103"/>
      <c r="R69" s="101"/>
      <c r="S69" s="101"/>
      <c r="T69" s="101"/>
      <c r="U69" s="72"/>
      <c r="V69" s="103"/>
      <c r="W69" s="103"/>
      <c r="X69" s="104"/>
    </row>
    <row r="70" spans="1:24" x14ac:dyDescent="0.3">
      <c r="A70" s="101"/>
      <c r="B70" s="73"/>
      <c r="C70" s="74"/>
      <c r="D70" s="68"/>
      <c r="E70" s="69"/>
      <c r="F70" s="70"/>
      <c r="G70" s="70"/>
      <c r="H70" s="37"/>
      <c r="I70" s="37"/>
      <c r="J70" s="37"/>
      <c r="K70" s="37"/>
      <c r="L70" s="37"/>
      <c r="M70" s="37"/>
      <c r="N70" s="37"/>
      <c r="O70" s="37"/>
      <c r="P70" s="103"/>
      <c r="Q70" s="103"/>
      <c r="R70" s="101"/>
      <c r="S70" s="101"/>
      <c r="T70" s="101"/>
      <c r="U70" s="72"/>
      <c r="V70" s="103"/>
      <c r="W70" s="103"/>
      <c r="X70" s="104"/>
    </row>
    <row r="71" spans="1:24" x14ac:dyDescent="0.3">
      <c r="A71" s="101"/>
      <c r="B71" s="73"/>
      <c r="C71" s="74"/>
      <c r="D71" s="68"/>
      <c r="E71" s="69"/>
      <c r="F71" s="70"/>
      <c r="G71" s="70"/>
      <c r="H71" s="37"/>
      <c r="I71" s="37"/>
      <c r="J71" s="37"/>
      <c r="K71" s="37"/>
      <c r="L71" s="37"/>
      <c r="M71" s="37"/>
      <c r="N71" s="37"/>
      <c r="O71" s="37"/>
      <c r="P71" s="103"/>
      <c r="Q71" s="103"/>
      <c r="R71" s="101"/>
      <c r="S71" s="101"/>
      <c r="T71" s="101"/>
      <c r="U71" s="72"/>
      <c r="V71" s="103"/>
      <c r="W71" s="103"/>
      <c r="X71" s="104"/>
    </row>
    <row r="72" spans="1:24" x14ac:dyDescent="0.3">
      <c r="A72" s="101"/>
      <c r="B72" s="73"/>
      <c r="C72" s="74"/>
      <c r="D72" s="68"/>
      <c r="E72" s="69"/>
      <c r="F72" s="70"/>
      <c r="G72" s="70"/>
      <c r="H72" s="37"/>
      <c r="I72" s="37"/>
      <c r="J72" s="37"/>
      <c r="K72" s="37"/>
      <c r="L72" s="37"/>
      <c r="M72" s="37"/>
      <c r="N72" s="37"/>
      <c r="O72" s="37"/>
      <c r="P72" s="103"/>
      <c r="Q72" s="103"/>
      <c r="R72" s="101"/>
      <c r="S72" s="101"/>
      <c r="T72" s="101"/>
      <c r="U72" s="72"/>
      <c r="V72" s="103"/>
      <c r="W72" s="103"/>
      <c r="X72" s="104"/>
    </row>
    <row r="73" spans="1:24" x14ac:dyDescent="0.3">
      <c r="A73" s="101"/>
      <c r="B73" s="73"/>
      <c r="C73" s="74"/>
      <c r="D73" s="68"/>
      <c r="E73" s="69"/>
      <c r="F73" s="70"/>
      <c r="G73" s="70"/>
      <c r="H73" s="37"/>
      <c r="I73" s="37"/>
      <c r="J73" s="37"/>
      <c r="K73" s="37"/>
      <c r="L73" s="37"/>
      <c r="M73" s="37"/>
      <c r="N73" s="37"/>
      <c r="O73" s="37"/>
      <c r="P73" s="103"/>
      <c r="Q73" s="103"/>
      <c r="R73" s="101"/>
      <c r="S73" s="101"/>
      <c r="T73" s="101"/>
      <c r="U73" s="72"/>
      <c r="V73" s="103"/>
      <c r="W73" s="103"/>
      <c r="X73" s="104"/>
    </row>
    <row r="74" spans="1:24" x14ac:dyDescent="0.3">
      <c r="A74" s="101"/>
      <c r="B74" s="73"/>
      <c r="C74" s="74"/>
      <c r="D74" s="68"/>
      <c r="E74" s="69"/>
      <c r="F74" s="70"/>
      <c r="G74" s="70"/>
      <c r="H74" s="37"/>
      <c r="I74" s="37"/>
      <c r="J74" s="37"/>
      <c r="K74" s="37"/>
      <c r="L74" s="37"/>
      <c r="M74" s="37"/>
      <c r="N74" s="37"/>
      <c r="O74" s="37"/>
      <c r="P74" s="103"/>
      <c r="Q74" s="103"/>
      <c r="R74" s="101"/>
      <c r="S74" s="101"/>
      <c r="T74" s="101"/>
      <c r="U74" s="72"/>
      <c r="V74" s="103"/>
      <c r="W74" s="103"/>
      <c r="X74" s="104"/>
    </row>
    <row r="75" spans="1:24" x14ac:dyDescent="0.3">
      <c r="A75" s="101"/>
      <c r="B75" s="73"/>
      <c r="C75" s="74"/>
      <c r="D75" s="68"/>
      <c r="E75" s="69"/>
      <c r="F75" s="70"/>
      <c r="G75" s="70"/>
      <c r="H75" s="37"/>
      <c r="I75" s="37"/>
      <c r="J75" s="37"/>
      <c r="K75" s="37"/>
      <c r="L75" s="37"/>
      <c r="M75" s="37"/>
      <c r="N75" s="37"/>
      <c r="O75" s="37"/>
      <c r="P75" s="103"/>
      <c r="Q75" s="103"/>
      <c r="R75" s="101"/>
      <c r="S75" s="101"/>
      <c r="T75" s="101"/>
      <c r="U75" s="72"/>
      <c r="V75" s="103"/>
      <c r="W75" s="103"/>
      <c r="X75" s="104"/>
    </row>
    <row r="76" spans="1:24" x14ac:dyDescent="0.3">
      <c r="A76" s="101"/>
      <c r="B76" s="73"/>
      <c r="C76" s="74"/>
      <c r="D76" s="68"/>
      <c r="E76" s="69"/>
      <c r="F76" s="70"/>
      <c r="G76" s="70"/>
      <c r="H76" s="37"/>
      <c r="I76" s="37"/>
      <c r="J76" s="37"/>
      <c r="K76" s="37"/>
      <c r="L76" s="37"/>
      <c r="M76" s="37"/>
      <c r="N76" s="37"/>
      <c r="O76" s="37"/>
      <c r="P76" s="103"/>
      <c r="Q76" s="103"/>
      <c r="R76" s="101"/>
      <c r="S76" s="101"/>
      <c r="T76" s="101"/>
      <c r="U76" s="72"/>
      <c r="V76" s="103"/>
      <c r="W76" s="103"/>
      <c r="X76" s="104"/>
    </row>
    <row r="77" spans="1:24" x14ac:dyDescent="0.3">
      <c r="A77" s="101"/>
      <c r="B77" s="73"/>
      <c r="C77" s="74"/>
      <c r="D77" s="68"/>
      <c r="E77" s="69"/>
      <c r="F77" s="70"/>
      <c r="G77" s="70"/>
      <c r="H77" s="37"/>
      <c r="I77" s="37"/>
      <c r="J77" s="37"/>
      <c r="K77" s="37"/>
      <c r="L77" s="37"/>
      <c r="M77" s="37"/>
      <c r="N77" s="37"/>
      <c r="O77" s="37"/>
      <c r="P77" s="109"/>
      <c r="Q77" s="109"/>
      <c r="R77" s="101"/>
      <c r="S77" s="101"/>
      <c r="T77" s="101"/>
      <c r="U77" s="72"/>
      <c r="V77" s="109"/>
      <c r="W77" s="109"/>
      <c r="X77" s="109"/>
    </row>
    <row r="78" spans="1:24" ht="15" customHeight="1" x14ac:dyDescent="0.3">
      <c r="A78" s="110"/>
      <c r="B78" s="49"/>
      <c r="C78" s="50"/>
      <c r="D78" s="51"/>
      <c r="E78" s="52"/>
      <c r="F78" s="54"/>
      <c r="G78" s="54"/>
      <c r="H78" s="50"/>
      <c r="I78" s="50"/>
      <c r="J78" s="50"/>
      <c r="K78" s="50"/>
      <c r="L78" s="50"/>
      <c r="M78" s="50"/>
      <c r="N78" s="50"/>
      <c r="O78" s="50"/>
      <c r="P78" s="50"/>
      <c r="Q78" s="50"/>
      <c r="R78" s="50"/>
      <c r="S78" s="50"/>
      <c r="T78" s="50"/>
      <c r="U78" s="50"/>
      <c r="V78" s="50"/>
      <c r="W78" s="50"/>
      <c r="X78" s="50"/>
    </row>
    <row r="79" spans="1:24" x14ac:dyDescent="0.3">
      <c r="A79" s="111"/>
      <c r="B79" s="49"/>
      <c r="C79" s="112"/>
      <c r="D79" s="112"/>
      <c r="E79" s="112"/>
      <c r="F79" s="113"/>
      <c r="G79" s="113"/>
      <c r="H79" s="112"/>
      <c r="I79" s="112"/>
      <c r="J79" s="112"/>
      <c r="K79" s="112"/>
      <c r="L79" s="112"/>
      <c r="M79" s="112"/>
      <c r="N79" s="112"/>
      <c r="O79" s="112"/>
      <c r="P79" s="112"/>
      <c r="Q79" s="112"/>
      <c r="R79" s="112"/>
      <c r="S79" s="112"/>
      <c r="T79" s="112"/>
      <c r="U79" s="112"/>
      <c r="V79" s="112"/>
      <c r="W79" s="112"/>
      <c r="X79" s="112"/>
    </row>
    <row r="80" spans="1:24" x14ac:dyDescent="0.3">
      <c r="A80" s="110"/>
      <c r="B80" s="109"/>
      <c r="C80" s="109"/>
      <c r="D80" s="107"/>
      <c r="E80" s="109"/>
      <c r="F80" s="114"/>
      <c r="G80" s="114"/>
      <c r="H80" s="109"/>
      <c r="I80" s="109"/>
      <c r="J80" s="109"/>
      <c r="K80" s="109"/>
      <c r="L80" s="109"/>
      <c r="M80" s="109"/>
      <c r="N80" s="109"/>
      <c r="O80" s="109"/>
      <c r="P80" s="109"/>
      <c r="Q80" s="109"/>
      <c r="R80" s="109"/>
      <c r="S80" s="109"/>
      <c r="T80" s="109"/>
      <c r="U80" s="109"/>
      <c r="V80" s="109"/>
      <c r="W80" s="109"/>
      <c r="X80" s="109"/>
    </row>
    <row r="81" spans="1:24" x14ac:dyDescent="0.3">
      <c r="A81" s="115"/>
      <c r="B81" s="109"/>
      <c r="C81" s="109"/>
      <c r="D81" s="107"/>
      <c r="E81" s="109"/>
      <c r="F81" s="114"/>
      <c r="G81" s="114"/>
      <c r="H81" s="109"/>
      <c r="I81" s="109"/>
      <c r="J81" s="109"/>
      <c r="K81" s="109"/>
      <c r="L81" s="109"/>
      <c r="M81" s="109"/>
      <c r="N81" s="109"/>
      <c r="O81" s="109"/>
      <c r="P81" s="109"/>
      <c r="Q81" s="109"/>
      <c r="R81" s="109"/>
      <c r="S81" s="109"/>
      <c r="T81" s="109"/>
      <c r="U81" s="109"/>
      <c r="V81" s="109"/>
      <c r="W81" s="109"/>
      <c r="X81" s="109"/>
    </row>
    <row r="82" spans="1:24" x14ac:dyDescent="0.3">
      <c r="A82" s="109"/>
      <c r="B82" s="109"/>
      <c r="C82" s="109"/>
      <c r="D82" s="107"/>
      <c r="E82" s="109"/>
      <c r="F82" s="109"/>
      <c r="G82" s="109"/>
      <c r="H82" s="116"/>
      <c r="I82" s="116"/>
      <c r="J82" s="116"/>
      <c r="K82" s="116"/>
      <c r="L82" s="116"/>
      <c r="M82" s="116"/>
      <c r="N82" s="116"/>
      <c r="O82" s="116"/>
      <c r="P82" s="109"/>
      <c r="Q82" s="109"/>
      <c r="R82" s="116"/>
      <c r="S82" s="116"/>
      <c r="T82" s="116"/>
      <c r="U82" s="116"/>
      <c r="V82" s="109"/>
      <c r="W82" s="109"/>
      <c r="X82" s="109"/>
    </row>
    <row r="83" spans="1:24" x14ac:dyDescent="0.3">
      <c r="A83" s="109"/>
      <c r="B83" s="109"/>
      <c r="C83" s="109"/>
      <c r="D83" s="107"/>
      <c r="E83" s="109"/>
      <c r="F83" s="109"/>
      <c r="G83" s="109"/>
      <c r="H83" s="73"/>
      <c r="I83" s="73"/>
      <c r="J83" s="73"/>
      <c r="K83" s="73"/>
      <c r="L83" s="73"/>
      <c r="M83" s="73"/>
      <c r="N83" s="73"/>
      <c r="O83" s="73"/>
      <c r="P83" s="109"/>
      <c r="Q83" s="109"/>
      <c r="R83" s="101"/>
      <c r="S83" s="101"/>
      <c r="T83" s="101"/>
      <c r="U83" s="117"/>
      <c r="V83" s="109"/>
      <c r="W83" s="109"/>
      <c r="X83" s="109"/>
    </row>
    <row r="84" spans="1:24" x14ac:dyDescent="0.3">
      <c r="A84" s="109"/>
      <c r="B84" s="109"/>
      <c r="C84" s="109"/>
      <c r="D84" s="107"/>
      <c r="E84" s="109"/>
      <c r="F84" s="109"/>
      <c r="G84" s="109"/>
      <c r="H84" s="73"/>
      <c r="I84" s="73"/>
      <c r="J84" s="73"/>
      <c r="K84" s="73"/>
      <c r="L84" s="73"/>
      <c r="M84" s="73"/>
      <c r="N84" s="73"/>
      <c r="O84" s="73"/>
      <c r="P84" s="109"/>
      <c r="Q84" s="109"/>
      <c r="R84" s="101"/>
      <c r="S84" s="101"/>
      <c r="T84" s="101"/>
      <c r="U84" s="117"/>
      <c r="V84" s="109"/>
      <c r="W84" s="109"/>
      <c r="X84" s="109"/>
    </row>
    <row r="85" spans="1:24" x14ac:dyDescent="0.3">
      <c r="A85" s="109"/>
      <c r="B85" s="109"/>
      <c r="C85" s="109"/>
      <c r="D85" s="107"/>
      <c r="E85" s="109"/>
      <c r="F85" s="109"/>
      <c r="G85" s="109"/>
      <c r="H85" s="73"/>
      <c r="I85" s="73"/>
      <c r="J85" s="73"/>
      <c r="K85" s="73"/>
      <c r="L85" s="73"/>
      <c r="M85" s="73"/>
      <c r="N85" s="73"/>
      <c r="O85" s="73"/>
      <c r="P85" s="109"/>
      <c r="Q85" s="109"/>
      <c r="R85" s="101"/>
      <c r="S85" s="101"/>
      <c r="T85" s="101"/>
      <c r="U85" s="117"/>
      <c r="V85" s="109"/>
      <c r="W85" s="109"/>
      <c r="X85" s="118"/>
    </row>
    <row r="86" spans="1:24" x14ac:dyDescent="0.3">
      <c r="A86" s="109"/>
      <c r="B86" s="109"/>
      <c r="C86" s="109"/>
      <c r="D86" s="107"/>
      <c r="E86" s="109"/>
      <c r="F86" s="109"/>
      <c r="G86" s="109"/>
      <c r="H86" s="73"/>
      <c r="I86" s="73"/>
      <c r="J86" s="73"/>
      <c r="K86" s="73"/>
      <c r="L86" s="73"/>
      <c r="M86" s="73"/>
      <c r="N86" s="73"/>
      <c r="O86" s="73"/>
      <c r="P86" s="109"/>
      <c r="Q86" s="109"/>
      <c r="R86" s="101"/>
      <c r="S86" s="101"/>
      <c r="T86" s="101"/>
      <c r="U86" s="117"/>
      <c r="V86" s="109"/>
      <c r="W86" s="109"/>
      <c r="X86" s="109"/>
    </row>
    <row r="87" spans="1:24" x14ac:dyDescent="0.3">
      <c r="A87" s="109"/>
      <c r="B87" s="109"/>
      <c r="C87" s="109"/>
      <c r="D87" s="107"/>
      <c r="E87" s="109"/>
      <c r="F87" s="109"/>
      <c r="G87" s="109"/>
      <c r="H87" s="73"/>
      <c r="I87" s="73"/>
      <c r="J87" s="73"/>
      <c r="K87" s="73"/>
      <c r="L87" s="73"/>
      <c r="M87" s="73"/>
      <c r="N87" s="73"/>
      <c r="O87" s="73"/>
      <c r="P87" s="109"/>
      <c r="Q87" s="109"/>
      <c r="R87" s="101"/>
      <c r="S87" s="101"/>
      <c r="T87" s="101"/>
      <c r="U87" s="117"/>
      <c r="V87" s="109"/>
      <c r="W87" s="109"/>
      <c r="X87" s="109"/>
    </row>
    <row r="88" spans="1:24" x14ac:dyDescent="0.3">
      <c r="A88" s="109"/>
      <c r="B88" s="109"/>
      <c r="C88" s="109"/>
      <c r="D88" s="107"/>
      <c r="E88" s="109"/>
      <c r="F88" s="109"/>
      <c r="G88" s="109"/>
      <c r="H88" s="73"/>
      <c r="I88" s="73"/>
      <c r="J88" s="73"/>
      <c r="K88" s="73"/>
      <c r="L88" s="73"/>
      <c r="M88" s="73"/>
      <c r="N88" s="73"/>
      <c r="O88" s="73"/>
      <c r="P88" s="119"/>
      <c r="Q88" s="119"/>
      <c r="R88" s="101"/>
      <c r="S88" s="101"/>
      <c r="T88" s="101"/>
      <c r="U88" s="117"/>
      <c r="V88" s="119"/>
      <c r="W88" s="109"/>
      <c r="X88" s="109"/>
    </row>
    <row r="89" spans="1:24" x14ac:dyDescent="0.3">
      <c r="A89" s="109"/>
      <c r="B89" s="109"/>
      <c r="C89" s="109"/>
      <c r="D89" s="107"/>
      <c r="E89" s="109"/>
      <c r="F89" s="109"/>
      <c r="G89" s="109"/>
      <c r="H89" s="73"/>
      <c r="I89" s="73"/>
      <c r="J89" s="73"/>
      <c r="K89" s="73"/>
      <c r="L89" s="73"/>
      <c r="M89" s="73"/>
      <c r="N89" s="73"/>
      <c r="O89" s="73"/>
      <c r="P89" s="109"/>
      <c r="Q89" s="109"/>
      <c r="R89" s="101"/>
      <c r="S89" s="101"/>
      <c r="T89" s="101"/>
      <c r="U89" s="117"/>
      <c r="V89" s="109"/>
      <c r="W89" s="109"/>
      <c r="X89" s="109"/>
    </row>
    <row r="90" spans="1:24" x14ac:dyDescent="0.3">
      <c r="A90" s="109"/>
      <c r="B90" s="109"/>
      <c r="C90" s="109"/>
      <c r="D90" s="107"/>
      <c r="E90" s="109"/>
      <c r="F90" s="109"/>
      <c r="G90" s="109"/>
      <c r="H90" s="73"/>
      <c r="I90" s="73"/>
      <c r="J90" s="73"/>
      <c r="K90" s="73"/>
      <c r="L90" s="73"/>
      <c r="M90" s="73"/>
      <c r="N90" s="73"/>
      <c r="O90" s="73"/>
      <c r="P90" s="109"/>
      <c r="Q90" s="109"/>
      <c r="R90" s="101"/>
      <c r="S90" s="101"/>
      <c r="T90" s="101"/>
      <c r="U90" s="117"/>
      <c r="V90" s="109"/>
      <c r="W90" s="109"/>
      <c r="X90" s="109"/>
    </row>
    <row r="91" spans="1:24" x14ac:dyDescent="0.3">
      <c r="A91" s="109"/>
      <c r="B91" s="109"/>
      <c r="C91" s="109"/>
      <c r="D91" s="107"/>
      <c r="E91" s="109"/>
      <c r="F91" s="109"/>
      <c r="G91" s="109"/>
      <c r="H91" s="73"/>
      <c r="I91" s="73"/>
      <c r="J91" s="73"/>
      <c r="K91" s="73"/>
      <c r="L91" s="73"/>
      <c r="M91" s="73"/>
      <c r="N91" s="73"/>
      <c r="O91" s="73"/>
      <c r="P91" s="109"/>
      <c r="Q91" s="109"/>
      <c r="R91" s="101"/>
      <c r="S91" s="101"/>
      <c r="T91" s="101"/>
      <c r="U91" s="117"/>
      <c r="V91" s="109"/>
      <c r="W91" s="109"/>
      <c r="X91" s="109"/>
    </row>
    <row r="92" spans="1:24" x14ac:dyDescent="0.3">
      <c r="A92" s="109"/>
      <c r="B92" s="109"/>
      <c r="C92" s="109"/>
      <c r="D92" s="107"/>
      <c r="E92" s="109"/>
      <c r="F92" s="109"/>
      <c r="G92" s="109"/>
      <c r="H92" s="73"/>
      <c r="I92" s="73"/>
      <c r="J92" s="73"/>
      <c r="K92" s="73"/>
      <c r="L92" s="73"/>
      <c r="M92" s="73"/>
      <c r="N92" s="73"/>
      <c r="O92" s="73"/>
      <c r="P92" s="109"/>
      <c r="Q92" s="109"/>
      <c r="R92" s="101"/>
      <c r="S92" s="101"/>
      <c r="T92" s="101"/>
      <c r="U92" s="117"/>
      <c r="V92" s="109"/>
      <c r="W92" s="109"/>
      <c r="X92" s="109"/>
    </row>
    <row r="93" spans="1:24" x14ac:dyDescent="0.3">
      <c r="A93" s="109"/>
      <c r="B93" s="109"/>
      <c r="C93" s="109"/>
      <c r="D93" s="107"/>
      <c r="E93" s="109"/>
      <c r="F93" s="109"/>
      <c r="G93" s="109"/>
      <c r="H93" s="73"/>
      <c r="I93" s="73"/>
      <c r="J93" s="73"/>
      <c r="K93" s="73"/>
      <c r="L93" s="73"/>
      <c r="M93" s="73"/>
      <c r="N93" s="73"/>
      <c r="O93" s="73"/>
      <c r="P93" s="109"/>
      <c r="Q93" s="109"/>
      <c r="R93" s="101"/>
      <c r="S93" s="101"/>
      <c r="T93" s="101"/>
      <c r="U93" s="117"/>
      <c r="V93" s="109"/>
      <c r="W93" s="109"/>
      <c r="X93" s="109"/>
    </row>
    <row r="94" spans="1:24" x14ac:dyDescent="0.3">
      <c r="A94" s="109"/>
      <c r="B94" s="109"/>
      <c r="C94" s="109"/>
      <c r="D94" s="107"/>
      <c r="E94" s="109"/>
      <c r="F94" s="109"/>
      <c r="G94" s="109"/>
      <c r="H94" s="73"/>
      <c r="I94" s="73"/>
      <c r="J94" s="73"/>
      <c r="K94" s="73"/>
      <c r="L94" s="73"/>
      <c r="M94" s="73"/>
      <c r="N94" s="73"/>
      <c r="O94" s="73"/>
      <c r="P94" s="109"/>
      <c r="Q94" s="109"/>
      <c r="R94" s="101"/>
      <c r="S94" s="101"/>
      <c r="T94" s="101"/>
      <c r="U94" s="117"/>
      <c r="V94" s="109"/>
      <c r="W94" s="109"/>
      <c r="X94" s="109"/>
    </row>
    <row r="95" spans="1:24" x14ac:dyDescent="0.3">
      <c r="A95" s="109"/>
      <c r="B95" s="109"/>
      <c r="C95" s="109"/>
      <c r="D95" s="107"/>
      <c r="E95" s="109"/>
      <c r="F95" s="109"/>
      <c r="G95" s="109"/>
      <c r="H95" s="73"/>
      <c r="I95" s="73"/>
      <c r="J95" s="73"/>
      <c r="K95" s="73"/>
      <c r="L95" s="73"/>
      <c r="M95" s="73"/>
      <c r="N95" s="73"/>
      <c r="O95" s="73"/>
      <c r="P95" s="109"/>
      <c r="Q95" s="109"/>
      <c r="R95" s="101"/>
      <c r="S95" s="101"/>
      <c r="T95" s="101"/>
      <c r="U95" s="117"/>
      <c r="V95" s="109"/>
      <c r="W95" s="109"/>
      <c r="X95" s="109"/>
    </row>
    <row r="96" spans="1:24" x14ac:dyDescent="0.3">
      <c r="A96" s="109"/>
      <c r="B96" s="109"/>
      <c r="C96" s="109"/>
      <c r="D96" s="107"/>
      <c r="E96" s="109"/>
      <c r="F96" s="109"/>
      <c r="G96" s="109"/>
      <c r="H96" s="73"/>
      <c r="I96" s="73"/>
      <c r="J96" s="73"/>
      <c r="K96" s="73"/>
      <c r="L96" s="73"/>
      <c r="M96" s="73"/>
      <c r="N96" s="73"/>
      <c r="O96" s="73"/>
      <c r="P96" s="109"/>
      <c r="Q96" s="109"/>
      <c r="R96" s="101"/>
      <c r="S96" s="101"/>
      <c r="T96" s="101"/>
      <c r="U96" s="117"/>
      <c r="V96" s="109"/>
      <c r="W96" s="109"/>
      <c r="X96" s="109"/>
    </row>
    <row r="97" spans="1:24" x14ac:dyDescent="0.3">
      <c r="A97" s="109"/>
      <c r="B97" s="109"/>
      <c r="C97" s="109"/>
      <c r="D97" s="107"/>
      <c r="E97" s="109"/>
      <c r="F97" s="109"/>
      <c r="G97" s="109"/>
      <c r="H97" s="73"/>
      <c r="I97" s="73"/>
      <c r="J97" s="73"/>
      <c r="K97" s="73"/>
      <c r="L97" s="73"/>
      <c r="M97" s="73"/>
      <c r="N97" s="73"/>
      <c r="O97" s="73"/>
      <c r="P97" s="109"/>
      <c r="Q97" s="109"/>
      <c r="R97" s="101"/>
      <c r="S97" s="101"/>
      <c r="T97" s="101"/>
      <c r="U97" s="117"/>
      <c r="V97" s="109"/>
      <c r="W97" s="109"/>
      <c r="X97" s="109"/>
    </row>
    <row r="98" spans="1:24" x14ac:dyDescent="0.3">
      <c r="A98" s="109"/>
      <c r="B98" s="109"/>
      <c r="C98" s="109"/>
      <c r="D98" s="107"/>
      <c r="E98" s="109"/>
      <c r="F98" s="109"/>
      <c r="G98" s="109"/>
      <c r="H98" s="73"/>
      <c r="I98" s="73"/>
      <c r="J98" s="73"/>
      <c r="K98" s="73"/>
      <c r="L98" s="73"/>
      <c r="M98" s="73"/>
      <c r="N98" s="73"/>
      <c r="O98" s="73"/>
      <c r="P98" s="109"/>
      <c r="Q98" s="109"/>
      <c r="R98" s="101"/>
      <c r="S98" s="101"/>
      <c r="T98" s="101"/>
      <c r="U98" s="117"/>
      <c r="V98" s="109"/>
      <c r="W98" s="109"/>
      <c r="X98" s="109"/>
    </row>
    <row r="99" spans="1:24" x14ac:dyDescent="0.3">
      <c r="A99" s="109"/>
      <c r="B99" s="109"/>
      <c r="C99" s="109"/>
      <c r="D99" s="107"/>
      <c r="E99" s="109"/>
      <c r="F99" s="109"/>
      <c r="G99" s="109"/>
      <c r="H99" s="73"/>
      <c r="I99" s="73"/>
      <c r="J99" s="73"/>
      <c r="K99" s="73"/>
      <c r="L99" s="73"/>
      <c r="M99" s="73"/>
      <c r="N99" s="73"/>
      <c r="O99" s="73"/>
      <c r="P99" s="109"/>
      <c r="Q99" s="109"/>
      <c r="R99" s="101"/>
      <c r="S99" s="101"/>
      <c r="T99" s="101"/>
      <c r="U99" s="117"/>
      <c r="V99" s="109"/>
      <c r="W99" s="109"/>
      <c r="X99" s="109"/>
    </row>
    <row r="100" spans="1:24" x14ac:dyDescent="0.3">
      <c r="A100" s="109"/>
      <c r="B100" s="109"/>
      <c r="C100" s="109"/>
      <c r="D100" s="107"/>
      <c r="E100" s="109"/>
      <c r="F100" s="109"/>
      <c r="G100" s="109"/>
      <c r="H100" s="73"/>
      <c r="I100" s="73"/>
      <c r="J100" s="73"/>
      <c r="K100" s="73"/>
      <c r="L100" s="73"/>
      <c r="M100" s="73"/>
      <c r="N100" s="73"/>
      <c r="O100" s="73"/>
      <c r="P100" s="109"/>
      <c r="Q100" s="109"/>
      <c r="R100" s="101"/>
      <c r="S100" s="101"/>
      <c r="T100" s="101"/>
      <c r="U100" s="117"/>
      <c r="V100" s="109"/>
      <c r="W100" s="109"/>
      <c r="X100" s="109"/>
    </row>
    <row r="101" spans="1:24" x14ac:dyDescent="0.3">
      <c r="A101" s="109"/>
      <c r="B101" s="109"/>
      <c r="C101" s="109"/>
      <c r="D101" s="107"/>
      <c r="E101" s="109"/>
      <c r="F101" s="109"/>
      <c r="G101" s="109"/>
      <c r="H101" s="73"/>
      <c r="I101" s="73"/>
      <c r="J101" s="73"/>
      <c r="K101" s="73"/>
      <c r="L101" s="73"/>
      <c r="M101" s="73"/>
      <c r="N101" s="73"/>
      <c r="O101" s="73"/>
      <c r="P101" s="109"/>
      <c r="Q101" s="109"/>
      <c r="R101" s="101"/>
      <c r="S101" s="101"/>
      <c r="T101" s="101"/>
      <c r="U101" s="117"/>
      <c r="V101" s="109"/>
      <c r="W101" s="109"/>
      <c r="X101" s="109"/>
    </row>
    <row r="102" spans="1:24" x14ac:dyDescent="0.3">
      <c r="A102" s="109"/>
      <c r="B102" s="109"/>
      <c r="C102" s="109"/>
      <c r="D102" s="107"/>
      <c r="E102" s="109"/>
      <c r="F102" s="109"/>
      <c r="G102" s="109"/>
      <c r="H102" s="73"/>
      <c r="I102" s="73"/>
      <c r="J102" s="73"/>
      <c r="K102" s="73"/>
      <c r="L102" s="73"/>
      <c r="M102" s="73"/>
      <c r="N102" s="73"/>
      <c r="O102" s="73"/>
      <c r="P102" s="109"/>
      <c r="Q102" s="109"/>
      <c r="R102" s="101"/>
      <c r="S102" s="101"/>
      <c r="T102" s="101"/>
      <c r="U102" s="117"/>
      <c r="V102" s="109"/>
      <c r="W102" s="109"/>
      <c r="X102" s="109"/>
    </row>
    <row r="103" spans="1:24" x14ac:dyDescent="0.3">
      <c r="A103" s="109"/>
      <c r="B103" s="109"/>
      <c r="C103" s="109"/>
      <c r="D103" s="107"/>
      <c r="E103" s="109"/>
      <c r="F103" s="109"/>
      <c r="G103" s="109"/>
      <c r="H103" s="73"/>
      <c r="I103" s="73"/>
      <c r="J103" s="73"/>
      <c r="K103" s="73"/>
      <c r="L103" s="73"/>
      <c r="M103" s="73"/>
      <c r="N103" s="73"/>
      <c r="O103" s="73"/>
      <c r="P103" s="109"/>
      <c r="Q103" s="109"/>
      <c r="R103" s="101"/>
      <c r="S103" s="101"/>
      <c r="T103" s="101"/>
      <c r="U103" s="117"/>
      <c r="V103" s="109"/>
      <c r="W103" s="109"/>
      <c r="X103" s="109"/>
    </row>
    <row r="104" spans="1:24" x14ac:dyDescent="0.3">
      <c r="A104" s="109"/>
      <c r="B104" s="109"/>
      <c r="C104" s="109"/>
      <c r="D104" s="107"/>
      <c r="E104" s="109"/>
      <c r="F104" s="109"/>
      <c r="G104" s="109"/>
      <c r="H104" s="73"/>
      <c r="I104" s="73"/>
      <c r="J104" s="73"/>
      <c r="K104" s="73"/>
      <c r="L104" s="73"/>
      <c r="M104" s="73"/>
      <c r="N104" s="73"/>
      <c r="O104" s="73"/>
      <c r="P104" s="109"/>
      <c r="Q104" s="109"/>
      <c r="R104" s="101"/>
      <c r="S104" s="101"/>
      <c r="T104" s="101"/>
      <c r="U104" s="117"/>
      <c r="V104" s="109"/>
      <c r="W104" s="109"/>
      <c r="X104" s="109"/>
    </row>
    <row r="105" spans="1:24" x14ac:dyDescent="0.3">
      <c r="A105" s="109"/>
      <c r="B105" s="109"/>
      <c r="C105" s="109"/>
      <c r="D105" s="107"/>
      <c r="E105" s="109"/>
      <c r="F105" s="109"/>
      <c r="G105" s="109"/>
      <c r="H105" s="73"/>
      <c r="I105" s="73"/>
      <c r="J105" s="73"/>
      <c r="K105" s="73"/>
      <c r="L105" s="73"/>
      <c r="M105" s="73"/>
      <c r="N105" s="73"/>
      <c r="O105" s="73"/>
      <c r="P105" s="109"/>
      <c r="Q105" s="109"/>
      <c r="R105" s="101"/>
      <c r="S105" s="101"/>
      <c r="T105" s="101"/>
      <c r="U105" s="117"/>
      <c r="V105" s="109"/>
      <c r="W105" s="109"/>
      <c r="X105" s="109"/>
    </row>
    <row r="106" spans="1:24" x14ac:dyDescent="0.3">
      <c r="A106" s="109"/>
      <c r="B106" s="109"/>
      <c r="C106" s="109"/>
      <c r="D106" s="107"/>
      <c r="E106" s="109"/>
      <c r="F106" s="109"/>
      <c r="G106" s="109"/>
      <c r="H106" s="73"/>
      <c r="I106" s="73"/>
      <c r="J106" s="73"/>
      <c r="K106" s="73"/>
      <c r="L106" s="73"/>
      <c r="M106" s="73"/>
      <c r="N106" s="73"/>
      <c r="O106" s="73"/>
      <c r="P106" s="109"/>
      <c r="Q106" s="109"/>
      <c r="R106" s="108"/>
      <c r="S106" s="108"/>
      <c r="T106" s="108"/>
      <c r="U106" s="117"/>
      <c r="V106" s="109"/>
      <c r="W106" s="109"/>
      <c r="X106" s="109"/>
    </row>
    <row r="107" spans="1:24" x14ac:dyDescent="0.3">
      <c r="A107" s="109"/>
      <c r="B107" s="109"/>
      <c r="C107" s="109"/>
      <c r="D107" s="107"/>
      <c r="E107" s="109"/>
      <c r="F107" s="109"/>
      <c r="G107" s="109"/>
      <c r="H107" s="109"/>
      <c r="I107" s="109"/>
      <c r="J107" s="109"/>
      <c r="K107" s="109"/>
      <c r="L107" s="109"/>
      <c r="M107" s="109"/>
      <c r="N107" s="109"/>
      <c r="O107" s="109"/>
      <c r="P107" s="109"/>
      <c r="Q107" s="109"/>
      <c r="R107" s="109"/>
      <c r="S107" s="109"/>
      <c r="T107" s="109"/>
      <c r="U107" s="109"/>
      <c r="V107" s="109"/>
      <c r="W107" s="109"/>
      <c r="X107" s="109"/>
    </row>
    <row r="108" spans="1:24" x14ac:dyDescent="0.3">
      <c r="A108" s="109"/>
      <c r="B108" s="109"/>
      <c r="C108" s="109"/>
      <c r="D108" s="107"/>
      <c r="E108" s="109"/>
      <c r="F108" s="109"/>
      <c r="G108" s="109"/>
      <c r="H108" s="109"/>
      <c r="I108" s="109"/>
      <c r="J108" s="109"/>
      <c r="K108" s="109"/>
      <c r="L108" s="109"/>
      <c r="M108" s="109"/>
      <c r="N108" s="109"/>
      <c r="O108" s="109"/>
      <c r="P108" s="109"/>
      <c r="Q108" s="109"/>
      <c r="R108" s="109"/>
      <c r="S108" s="109"/>
      <c r="T108" s="109"/>
      <c r="U108" s="109"/>
      <c r="V108" s="109"/>
      <c r="W108" s="109"/>
      <c r="X108" s="109"/>
    </row>
    <row r="109" spans="1:24" x14ac:dyDescent="0.3">
      <c r="A109" s="109"/>
      <c r="B109" s="109"/>
      <c r="C109" s="109"/>
      <c r="D109" s="107"/>
      <c r="E109" s="109"/>
      <c r="F109" s="109"/>
      <c r="G109" s="109"/>
      <c r="H109" s="109"/>
      <c r="I109" s="109"/>
      <c r="J109" s="109"/>
      <c r="K109" s="109"/>
      <c r="L109" s="109"/>
      <c r="M109" s="109"/>
      <c r="N109" s="109"/>
      <c r="O109" s="109"/>
      <c r="P109" s="109"/>
      <c r="Q109" s="109"/>
      <c r="R109" s="109"/>
      <c r="S109" s="109"/>
      <c r="T109" s="109"/>
      <c r="U109" s="109"/>
      <c r="V109" s="109"/>
      <c r="W109" s="109"/>
      <c r="X109" s="109"/>
    </row>
    <row r="110" spans="1:24" x14ac:dyDescent="0.3">
      <c r="A110" s="109"/>
      <c r="B110" s="109"/>
      <c r="C110" s="109"/>
      <c r="D110" s="107"/>
      <c r="E110" s="109"/>
      <c r="F110" s="109"/>
      <c r="G110" s="109"/>
      <c r="H110" s="109"/>
      <c r="I110" s="109"/>
      <c r="J110" s="109"/>
      <c r="K110" s="109"/>
      <c r="L110" s="109"/>
      <c r="M110" s="109"/>
      <c r="N110" s="109"/>
      <c r="O110" s="109"/>
      <c r="P110" s="109"/>
      <c r="Q110" s="109"/>
      <c r="R110" s="109"/>
      <c r="S110" s="109"/>
      <c r="T110" s="109"/>
      <c r="U110" s="109"/>
      <c r="V110" s="109"/>
      <c r="W110" s="109"/>
      <c r="X110" s="109"/>
    </row>
    <row r="111" spans="1:24" x14ac:dyDescent="0.3">
      <c r="A111" s="109"/>
      <c r="B111" s="109"/>
      <c r="C111" s="109"/>
      <c r="D111" s="107"/>
      <c r="E111" s="109"/>
      <c r="F111" s="109"/>
      <c r="G111" s="109"/>
      <c r="H111" s="109"/>
      <c r="I111" s="109"/>
      <c r="J111" s="109"/>
      <c r="K111" s="109"/>
      <c r="L111" s="109"/>
      <c r="M111" s="109"/>
      <c r="N111" s="109"/>
      <c r="O111" s="109"/>
      <c r="P111" s="109"/>
      <c r="Q111" s="109"/>
      <c r="R111" s="109"/>
      <c r="S111" s="109"/>
      <c r="T111" s="109"/>
      <c r="U111" s="109"/>
      <c r="V111" s="109"/>
      <c r="W111" s="109"/>
      <c r="X111" s="109"/>
    </row>
    <row r="112" spans="1:24" x14ac:dyDescent="0.3">
      <c r="A112" s="109"/>
      <c r="B112" s="109"/>
      <c r="C112" s="109"/>
      <c r="D112" s="107"/>
      <c r="E112" s="109"/>
      <c r="F112" s="109"/>
      <c r="G112" s="109"/>
      <c r="H112" s="109"/>
      <c r="I112" s="109"/>
      <c r="J112" s="109"/>
      <c r="K112" s="109"/>
      <c r="L112" s="109"/>
      <c r="M112" s="109"/>
      <c r="N112" s="109"/>
      <c r="O112" s="109"/>
      <c r="P112" s="109"/>
      <c r="Q112" s="109"/>
      <c r="R112" s="109"/>
      <c r="S112" s="109"/>
      <c r="T112" s="109"/>
      <c r="U112" s="109"/>
      <c r="V112" s="109"/>
      <c r="W112" s="109"/>
      <c r="X112" s="109"/>
    </row>
  </sheetData>
  <sheetProtection algorithmName="SHA-512" hashValue="+i/mFDjYHf0Z67GVBEcjRNqjxbCxSq8BkxHzhItRjtYJy0S7ddFXsFu5/AsjAxrOoagEIBfUqvwwanmcS/txZA==" saltValue="7uxl/G0FdNuuY4qzDWl9iA==" spinCount="100000" sheet="1" objects="1" scenarios="1"/>
  <mergeCells count="4">
    <mergeCell ref="A21:B21"/>
    <mergeCell ref="B47:F47"/>
    <mergeCell ref="B48:F49"/>
    <mergeCell ref="A20:K20"/>
  </mergeCells>
  <conditionalFormatting sqref="H8:H11">
    <cfRule type="expression" dxfId="24" priority="2">
      <formula>AND($C8="ENR",$H8=0)</formula>
    </cfRule>
  </conditionalFormatting>
  <conditionalFormatting sqref="D26:D43">
    <cfRule type="expression" dxfId="23" priority="1">
      <formula>AND($C$21="ENR",$D26=0)</formula>
    </cfRule>
  </conditionalFormatting>
  <dataValidations count="1">
    <dataValidation type="list" allowBlank="1" showInputMessage="1" showErrorMessage="1" sqref="D50:D77 D17:D19">
      <formula1>"Yes,No"</formula1>
    </dataValidation>
  </dataValidations>
  <pageMargins left="0.7" right="0.7" top="0.75" bottom="0.75" header="0.3" footer="0.3"/>
  <pageSetup paperSize="17" scale="75" pageOrder="overThenDown" orientation="landscape" r:id="rId1"/>
  <headerFooter>
    <oddHeader>&amp;L&amp;"Arial,Bold"WILLAMETTE RIVER WATER TREATMENT PLANT - 2017 MASTER PLAN UPDATE
CAPITAL IMPROVEMENT PLAN WORKBOOK</oddHeader>
    <oddFooter>&amp;L&amp;"Arial,Regular"&amp;8WRWTP - 2017 MPU CIP Workbook&amp;C&amp;"Arial,Regular"&amp;8&amp;A Sheet&amp;R&amp;"Arial,Regular"&amp;8Page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 Reference'!$A$1:$A$3</xm:f>
          </x14:formula1>
          <xm:sqref>C8:C11 C21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V167"/>
  <sheetViews>
    <sheetView zoomScaleNormal="100" zoomScaleSheetLayoutView="100" workbookViewId="0">
      <pane xSplit="3" ySplit="7" topLeftCell="D8" activePane="bottomRight" state="frozen"/>
      <selection pane="topRight" activeCell="D1" sqref="D1"/>
      <selection pane="bottomLeft" activeCell="A8" sqref="A8"/>
      <selection pane="bottomRight" activeCell="M8" sqref="M8"/>
    </sheetView>
  </sheetViews>
  <sheetFormatPr defaultRowHeight="14.4" x14ac:dyDescent="0.3"/>
  <cols>
    <col min="1" max="1" width="4.6640625" style="91" customWidth="1"/>
    <col min="2" max="2" width="19.109375" customWidth="1"/>
    <col min="3" max="3" width="20.109375" customWidth="1"/>
    <col min="4" max="4" width="74.6640625" customWidth="1"/>
    <col min="5" max="5" width="15.33203125" customWidth="1"/>
    <col min="6" max="6" width="10.109375" style="28" customWidth="1"/>
    <col min="7" max="7" width="14.5546875" style="28" customWidth="1"/>
    <col min="8" max="8" width="13.88671875" customWidth="1"/>
    <col min="9" max="9" width="15.33203125" customWidth="1"/>
    <col min="10" max="10" width="13.44140625" customWidth="1"/>
    <col min="11" max="11" width="12" style="255" customWidth="1"/>
    <col min="12" max="12" width="10.109375" style="255" customWidth="1"/>
    <col min="13" max="13" width="17.44140625" style="255" customWidth="1"/>
    <col min="14" max="15" width="15.109375" customWidth="1"/>
    <col min="16" max="16" width="10.6640625" style="255" customWidth="1"/>
    <col min="17" max="17" width="14.6640625" style="255" customWidth="1"/>
    <col min="18" max="18" width="11.5546875" style="255" customWidth="1"/>
    <col min="19" max="19" width="9.6640625" style="255" customWidth="1"/>
    <col min="20" max="20" width="14" style="255" customWidth="1"/>
  </cols>
  <sheetData>
    <row r="1" spans="1:20" ht="15" customHeight="1" x14ac:dyDescent="0.3">
      <c r="A1" s="5" t="s">
        <v>189</v>
      </c>
      <c r="B1" s="1"/>
      <c r="C1" s="1"/>
      <c r="D1" s="1"/>
      <c r="E1" s="3"/>
      <c r="F1" s="2"/>
      <c r="G1" s="2"/>
      <c r="H1" s="3"/>
      <c r="I1" s="3"/>
      <c r="J1" s="3"/>
      <c r="K1" s="245"/>
      <c r="L1" s="245"/>
      <c r="M1" s="245"/>
      <c r="N1" s="3"/>
      <c r="O1" s="3"/>
      <c r="P1" s="245"/>
      <c r="Q1" s="245"/>
      <c r="R1" s="245"/>
      <c r="S1" s="245"/>
      <c r="T1" s="245"/>
    </row>
    <row r="2" spans="1:20" ht="15" customHeight="1" x14ac:dyDescent="0.3">
      <c r="A2" s="5" t="s">
        <v>0</v>
      </c>
      <c r="B2" s="5"/>
      <c r="C2" s="5"/>
      <c r="D2" s="5"/>
      <c r="E2" s="7"/>
      <c r="F2" s="6"/>
      <c r="G2" s="6"/>
      <c r="H2" s="7"/>
      <c r="I2" s="7"/>
      <c r="J2" s="7"/>
      <c r="K2" s="246"/>
      <c r="L2" s="246"/>
      <c r="M2" s="246"/>
      <c r="N2" s="7"/>
      <c r="O2" s="7"/>
      <c r="P2" s="246"/>
      <c r="Q2" s="246"/>
      <c r="R2" s="246"/>
      <c r="S2" s="246"/>
      <c r="T2" s="246"/>
    </row>
    <row r="3" spans="1:20" ht="15" customHeight="1" x14ac:dyDescent="0.3">
      <c r="A3" s="9"/>
      <c r="B3" s="9"/>
      <c r="C3" s="9"/>
      <c r="D3" s="9"/>
      <c r="E3" s="9"/>
      <c r="F3" s="26"/>
      <c r="G3" s="144"/>
      <c r="H3" s="61"/>
      <c r="I3" s="61"/>
      <c r="J3" s="9"/>
      <c r="K3" s="256"/>
      <c r="L3" s="257"/>
      <c r="M3" s="257"/>
      <c r="N3" s="5"/>
      <c r="O3" s="5"/>
      <c r="P3" s="256"/>
      <c r="Q3" s="256"/>
      <c r="R3" s="256"/>
      <c r="S3" s="256"/>
      <c r="T3" s="246"/>
    </row>
    <row r="4" spans="1:20" x14ac:dyDescent="0.3">
      <c r="A4" s="275"/>
      <c r="B4" s="5"/>
      <c r="C4" s="7"/>
      <c r="D4" s="5"/>
      <c r="E4" s="5"/>
      <c r="F4" s="11"/>
      <c r="G4" s="221"/>
      <c r="H4" s="1"/>
      <c r="I4" s="1"/>
      <c r="J4" s="1"/>
      <c r="K4" s="245"/>
      <c r="L4" s="245"/>
      <c r="M4" s="245"/>
      <c r="N4" s="1"/>
      <c r="O4" s="1"/>
      <c r="P4" s="245"/>
      <c r="Q4" s="245"/>
      <c r="R4" s="245"/>
      <c r="S4" s="245"/>
      <c r="T4" s="342"/>
    </row>
    <row r="5" spans="1:20" x14ac:dyDescent="0.3">
      <c r="A5" s="13" t="s">
        <v>356</v>
      </c>
      <c r="B5" s="5"/>
      <c r="C5" s="5"/>
      <c r="D5" s="5"/>
      <c r="E5" s="87"/>
      <c r="F5" s="11"/>
      <c r="G5" s="11"/>
      <c r="H5" s="5"/>
      <c r="I5" s="5"/>
      <c r="J5" s="5"/>
      <c r="K5" s="246"/>
      <c r="L5" s="246"/>
      <c r="M5" s="246"/>
      <c r="N5" s="289"/>
      <c r="O5" s="5"/>
      <c r="P5" s="246"/>
      <c r="Q5" s="246"/>
      <c r="R5" s="246"/>
      <c r="S5" s="246"/>
      <c r="T5" s="343"/>
    </row>
    <row r="6" spans="1:20" s="335" customFormat="1" x14ac:dyDescent="0.3">
      <c r="A6" s="336">
        <v>1</v>
      </c>
      <c r="B6" s="337">
        <v>2</v>
      </c>
      <c r="C6" s="338">
        <v>3</v>
      </c>
      <c r="D6" s="337">
        <v>4</v>
      </c>
      <c r="E6" s="338">
        <v>5</v>
      </c>
      <c r="F6" s="337">
        <v>6</v>
      </c>
      <c r="G6" s="338">
        <v>7</v>
      </c>
      <c r="H6" s="337">
        <v>8</v>
      </c>
      <c r="I6" s="338">
        <v>9</v>
      </c>
      <c r="J6" s="337">
        <v>10</v>
      </c>
      <c r="K6" s="338">
        <v>11</v>
      </c>
      <c r="L6" s="337">
        <v>12</v>
      </c>
      <c r="M6" s="338">
        <v>13</v>
      </c>
      <c r="N6" s="337">
        <v>14</v>
      </c>
      <c r="O6" s="338">
        <v>15</v>
      </c>
      <c r="P6" s="337">
        <v>16</v>
      </c>
      <c r="Q6" s="338">
        <v>17</v>
      </c>
      <c r="R6" s="337">
        <v>18</v>
      </c>
      <c r="S6" s="338">
        <v>19</v>
      </c>
      <c r="T6" s="343"/>
    </row>
    <row r="7" spans="1:20" ht="76.95" customHeight="1" x14ac:dyDescent="0.3">
      <c r="A7" s="330" t="s">
        <v>13</v>
      </c>
      <c r="B7" s="331" t="s">
        <v>154</v>
      </c>
      <c r="C7" s="330" t="s">
        <v>34</v>
      </c>
      <c r="D7" s="331" t="s">
        <v>155</v>
      </c>
      <c r="E7" s="334" t="s">
        <v>161</v>
      </c>
      <c r="F7" s="334" t="s">
        <v>156</v>
      </c>
      <c r="G7" s="330" t="s">
        <v>171</v>
      </c>
      <c r="H7" s="330" t="s">
        <v>295</v>
      </c>
      <c r="I7" s="330" t="s">
        <v>296</v>
      </c>
      <c r="J7" s="330" t="s">
        <v>302</v>
      </c>
      <c r="K7" s="330" t="s">
        <v>177</v>
      </c>
      <c r="L7" s="373" t="s">
        <v>298</v>
      </c>
      <c r="M7" s="330" t="str">
        <f>"Future Value in Project Year - "&amp;G8</f>
        <v>Future Value in Project Year - Escalation</v>
      </c>
      <c r="N7" s="330" t="str">
        <f>"Future Design Cost - "&amp;G8</f>
        <v>Future Design Cost - Escalation</v>
      </c>
      <c r="O7" s="330" t="str">
        <f>"Future Administrative Cost - "&amp;G8</f>
        <v>Future Administrative Cost - Escalation</v>
      </c>
      <c r="P7" s="330" t="s">
        <v>299</v>
      </c>
      <c r="Q7" s="330" t="s">
        <v>300</v>
      </c>
      <c r="R7" s="330" t="s">
        <v>301</v>
      </c>
      <c r="S7" s="330" t="s">
        <v>11</v>
      </c>
      <c r="T7" s="330" t="s">
        <v>12</v>
      </c>
    </row>
    <row r="8" spans="1:20" ht="28.2" x14ac:dyDescent="0.3">
      <c r="A8" s="56">
        <v>1</v>
      </c>
      <c r="B8" s="58" t="s">
        <v>218</v>
      </c>
      <c r="C8" s="57" t="s">
        <v>35</v>
      </c>
      <c r="D8" s="57" t="s">
        <v>36</v>
      </c>
      <c r="E8" s="315">
        <v>169791</v>
      </c>
      <c r="F8" s="296" t="s">
        <v>10</v>
      </c>
      <c r="G8" s="228" t="str">
        <f>IF(B8="Repair &amp; Replace",RRCostProjection,VLOOKUP(B8,CIP_Summary,'CIP Summary'!$C$6,FALSE))</f>
        <v>Escalation</v>
      </c>
      <c r="H8" s="228">
        <f t="shared" ref="H8:H39" si="0">IF(F8="Yes",E8*(Design),0)</f>
        <v>25468.649999999998</v>
      </c>
      <c r="I8" s="314">
        <f t="shared" ref="I8:I39" si="1">E8*(Admin)</f>
        <v>16979.100000000002</v>
      </c>
      <c r="J8" s="314">
        <f>E8*IF(F8="yes",(1+Design+Admin),IF(F8="No",(1+Admin),"Check"))</f>
        <v>212238.75</v>
      </c>
      <c r="K8" s="316">
        <f>VLOOKUP(B8,CIP_Summary,'CIP Summary'!$G$6,FALSE)</f>
        <v>2021</v>
      </c>
      <c r="L8" s="374">
        <f>IF(B8="repair &amp; replace",VLOOKUP(K8,RR_ENR,2,FALSE),VLOOKUP(B8,CIP_Summary,'CIP Summary'!$H$6,FALSE))</f>
        <v>0</v>
      </c>
      <c r="M8" s="86">
        <f t="shared" ref="M8:M39" si="2">IF(G8="Escalation",J8*(Escalation_Rate)^(K8-YEAR(estimate_date)),IF(G8="Revised Estimate",((ENR_Revised/ENR)*J8)*Escalation_Rate^(K8-YEAR(Revised_Estimate_Date)),IF(AND(G8="ENR",L8&gt;0),J8*L8/ENR,"Need ENR @ Project Year")))</f>
        <v>238876.58294838748</v>
      </c>
      <c r="N8" s="340">
        <f t="shared" ref="N8:N39" si="3">IF(M8="Need ENR @ Project Year",M8,H8*M8/J8)</f>
        <v>28665.189953806497</v>
      </c>
      <c r="O8" s="228">
        <f t="shared" ref="O8:O39" si="4">IF(M8="Need ENR @ Project Year",M8,I8*M8/J8)</f>
        <v>19110.126635871002</v>
      </c>
      <c r="P8" s="180">
        <f>IF(B8="Repair &amp; Replace",0,VLOOKUP(B8,CIP_Summary,'CIP Summary'!$M$6,FALSE))</f>
        <v>12</v>
      </c>
      <c r="Q8" s="180">
        <f>IF(B8="repair &amp; replace",RR_Construction,VLOOKUP(B8,CIP_Summary,'CIP Summary'!$N$6,FALSE))</f>
        <v>18</v>
      </c>
      <c r="R8" s="180">
        <f>IF(B8="repair &amp; replace",RR_Float,VLOOKUP(B8,CIP_Summary,'CIP Summary'!$O$6,FALSE))</f>
        <v>6</v>
      </c>
      <c r="S8" s="90">
        <f t="shared" ref="S8:S39" si="5">ROUNDDOWN(K8-SUM(P8:R8)/12,0)</f>
        <v>2018</v>
      </c>
      <c r="T8" s="90">
        <f t="shared" ref="T8:T39" si="6">ROUNDDOWN(K8-SUM(Q8:R8)/12,0)</f>
        <v>2019</v>
      </c>
    </row>
    <row r="9" spans="1:20" x14ac:dyDescent="0.3">
      <c r="A9" s="127">
        <v>2</v>
      </c>
      <c r="B9" s="128" t="s">
        <v>218</v>
      </c>
      <c r="C9" s="129" t="s">
        <v>35</v>
      </c>
      <c r="D9" s="129" t="s">
        <v>37</v>
      </c>
      <c r="E9" s="326">
        <v>42275</v>
      </c>
      <c r="F9" s="327" t="s">
        <v>10</v>
      </c>
      <c r="G9" s="228" t="str">
        <f>IF(B9="Repair &amp; Replace",RRCostProjection,VLOOKUP(B9,CIP_Summary,'CIP Summary'!$C$6,FALSE))</f>
        <v>Escalation</v>
      </c>
      <c r="H9" s="228">
        <f t="shared" si="0"/>
        <v>6341.25</v>
      </c>
      <c r="I9" s="314">
        <f t="shared" si="1"/>
        <v>4227.5</v>
      </c>
      <c r="J9" s="328">
        <f t="shared" ref="J9:J39" si="7">E9*IF(F9="yes",(1+Design+Admin),IF(F9="No",(1+Admin),"Check"))</f>
        <v>52843.75</v>
      </c>
      <c r="K9" s="316">
        <f>VLOOKUP(B9,CIP_Summary,'CIP Summary'!$G$6,FALSE)</f>
        <v>2021</v>
      </c>
      <c r="L9" s="374">
        <f>IF(B9="repair &amp; replace",VLOOKUP(K9,RR_ENR,2,FALSE),VLOOKUP(B9,CIP_Summary,'CIP Summary'!$H$6,FALSE))</f>
        <v>0</v>
      </c>
      <c r="M9" s="86">
        <f t="shared" si="2"/>
        <v>59476.106178437498</v>
      </c>
      <c r="N9" s="341">
        <f t="shared" si="3"/>
        <v>7137.1327414124999</v>
      </c>
      <c r="O9" s="86">
        <f t="shared" si="4"/>
        <v>4758.0884942749999</v>
      </c>
      <c r="P9" s="180">
        <f>IF(B9="Repair &amp; Replace",0,VLOOKUP(B9,CIP_Summary,'CIP Summary'!$M$6,FALSE))</f>
        <v>12</v>
      </c>
      <c r="Q9" s="180">
        <f>IF(B9="repair &amp; replace",RR_Construction,VLOOKUP(B9,CIP_Summary,'CIP Summary'!$N$6,FALSE))</f>
        <v>18</v>
      </c>
      <c r="R9" s="180">
        <f>IF(B9="repair &amp; replace",RR_Float,VLOOKUP(B9,CIP_Summary,'CIP Summary'!$O$6,FALSE))</f>
        <v>6</v>
      </c>
      <c r="S9" s="329">
        <f t="shared" si="5"/>
        <v>2018</v>
      </c>
      <c r="T9" s="329">
        <f t="shared" si="6"/>
        <v>2019</v>
      </c>
    </row>
    <row r="10" spans="1:20" ht="42" x14ac:dyDescent="0.3">
      <c r="A10" s="56">
        <v>3</v>
      </c>
      <c r="B10" s="57" t="s">
        <v>219</v>
      </c>
      <c r="C10" s="57" t="s">
        <v>35</v>
      </c>
      <c r="D10" s="57" t="s">
        <v>54</v>
      </c>
      <c r="E10" s="315">
        <v>4864843</v>
      </c>
      <c r="F10" s="296" t="s">
        <v>10</v>
      </c>
      <c r="G10" s="228" t="str">
        <f>IF(B10="Repair &amp; Replace",RRCostProjection,VLOOKUP(B10,CIP_Summary,'CIP Summary'!$C$6,FALSE))</f>
        <v>Escalation</v>
      </c>
      <c r="H10" s="228">
        <f t="shared" si="0"/>
        <v>729726.45</v>
      </c>
      <c r="I10" s="314">
        <f t="shared" si="1"/>
        <v>486484.30000000005</v>
      </c>
      <c r="J10" s="314">
        <f t="shared" si="7"/>
        <v>6081053.75</v>
      </c>
      <c r="K10" s="316">
        <f>VLOOKUP(B10,CIP_Summary,'CIP Summary'!$G$6,FALSE)</f>
        <v>2034</v>
      </c>
      <c r="L10" s="374">
        <f>IF(B10="repair &amp; replace",VLOOKUP(K10,RR_ENR,2,FALSE),VLOOKUP(B10,CIP_Summary,'CIP Summary'!$H$6,FALSE))</f>
        <v>0</v>
      </c>
      <c r="M10" s="86">
        <f t="shared" si="2"/>
        <v>10051055.29240475</v>
      </c>
      <c r="N10" s="340">
        <f t="shared" si="3"/>
        <v>1206126.63508857</v>
      </c>
      <c r="O10" s="228">
        <f t="shared" si="4"/>
        <v>804084.42339238001</v>
      </c>
      <c r="P10" s="180">
        <f>IF(B10="Repair &amp; Replace",0,VLOOKUP(B10,CIP_Summary,'CIP Summary'!$M$6,FALSE))</f>
        <v>12</v>
      </c>
      <c r="Q10" s="180">
        <f>IF(B10="repair &amp; replace",RR_Construction,VLOOKUP(B10,CIP_Summary,'CIP Summary'!$N$6,FALSE))</f>
        <v>24</v>
      </c>
      <c r="R10" s="180">
        <f>IF(B10="repair &amp; replace",RR_Float,VLOOKUP(B10,CIP_Summary,'CIP Summary'!$O$6,FALSE))</f>
        <v>6</v>
      </c>
      <c r="S10" s="90">
        <f t="shared" si="5"/>
        <v>2030</v>
      </c>
      <c r="T10" s="90">
        <f t="shared" si="6"/>
        <v>2031</v>
      </c>
    </row>
    <row r="11" spans="1:20" ht="28.2" x14ac:dyDescent="0.3">
      <c r="A11" s="56">
        <v>4</v>
      </c>
      <c r="B11" s="58" t="s">
        <v>71</v>
      </c>
      <c r="C11" s="57" t="s">
        <v>35</v>
      </c>
      <c r="D11" s="57" t="s">
        <v>70</v>
      </c>
      <c r="E11" s="315">
        <v>6427</v>
      </c>
      <c r="F11" s="296" t="s">
        <v>9</v>
      </c>
      <c r="G11" s="228" t="str">
        <f>IF(B11="Repair &amp; Replace",RRCostProjection,VLOOKUP(B11,CIP_Summary,'CIP Summary'!$C$6,FALSE))</f>
        <v>Escalation</v>
      </c>
      <c r="H11" s="228">
        <f t="shared" si="0"/>
        <v>0</v>
      </c>
      <c r="I11" s="314">
        <f t="shared" si="1"/>
        <v>642.70000000000005</v>
      </c>
      <c r="J11" s="314">
        <f t="shared" si="7"/>
        <v>7069.7000000000007</v>
      </c>
      <c r="K11" s="316">
        <f>VLOOKUP(B11,CIP_Summary,'CIP Summary'!$G$6,FALSE)</f>
        <v>2022</v>
      </c>
      <c r="L11" s="374">
        <f>IF(B11="repair &amp; replace",VLOOKUP(K11,RR_ENR,2,FALSE),VLOOKUP(B11,CIP_Summary,'CIP Summary'!$H$6,FALSE))</f>
        <v>0</v>
      </c>
      <c r="M11" s="86">
        <f t="shared" si="2"/>
        <v>8195.7199230787101</v>
      </c>
      <c r="N11" s="340">
        <f t="shared" si="3"/>
        <v>0</v>
      </c>
      <c r="O11" s="228">
        <f t="shared" si="4"/>
        <v>745.06544755261007</v>
      </c>
      <c r="P11" s="180">
        <f>IF(B11="Repair &amp; Replace",0,VLOOKUP(B11,CIP_Summary,'CIP Summary'!$M$6,FALSE))</f>
        <v>6</v>
      </c>
      <c r="Q11" s="180">
        <f>IF(B11="repair &amp; replace",RR_Construction,VLOOKUP(B11,CIP_Summary,'CIP Summary'!$N$6,FALSE))</f>
        <v>6</v>
      </c>
      <c r="R11" s="180">
        <f>IF(B11="repair &amp; replace",RR_Float,VLOOKUP(B11,CIP_Summary,'CIP Summary'!$O$6,FALSE))</f>
        <v>3</v>
      </c>
      <c r="S11" s="90">
        <f t="shared" si="5"/>
        <v>2020</v>
      </c>
      <c r="T11" s="90">
        <f t="shared" si="6"/>
        <v>2021</v>
      </c>
    </row>
    <row r="12" spans="1:20" ht="42" x14ac:dyDescent="0.3">
      <c r="A12" s="56">
        <v>5</v>
      </c>
      <c r="B12" s="58" t="s">
        <v>71</v>
      </c>
      <c r="C12" s="57" t="s">
        <v>35</v>
      </c>
      <c r="D12" s="57" t="s">
        <v>72</v>
      </c>
      <c r="E12" s="315">
        <v>36136</v>
      </c>
      <c r="F12" s="296" t="s">
        <v>9</v>
      </c>
      <c r="G12" s="228" t="str">
        <f>IF(B12="Repair &amp; Replace",RRCostProjection,VLOOKUP(B12,CIP_Summary,'CIP Summary'!$C$6,FALSE))</f>
        <v>Escalation</v>
      </c>
      <c r="H12" s="228">
        <f t="shared" si="0"/>
        <v>0</v>
      </c>
      <c r="I12" s="314">
        <f t="shared" si="1"/>
        <v>3613.6000000000004</v>
      </c>
      <c r="J12" s="314">
        <f t="shared" si="7"/>
        <v>39749.600000000006</v>
      </c>
      <c r="K12" s="316">
        <f>VLOOKUP(B12,CIP_Summary,'CIP Summary'!$G$6,FALSE)</f>
        <v>2022</v>
      </c>
      <c r="L12" s="374">
        <f>IF(B12="repair &amp; replace",VLOOKUP(K12,RR_ENR,2,FALSE),VLOOKUP(B12,CIP_Summary,'CIP Summary'!$H$6,FALSE))</f>
        <v>0</v>
      </c>
      <c r="M12" s="86">
        <f t="shared" si="2"/>
        <v>46080.680743795281</v>
      </c>
      <c r="N12" s="340">
        <f t="shared" si="3"/>
        <v>0</v>
      </c>
      <c r="O12" s="228">
        <f t="shared" si="4"/>
        <v>4189.1527948904804</v>
      </c>
      <c r="P12" s="180">
        <f>IF(B12="Repair &amp; Replace",0,VLOOKUP(B12,CIP_Summary,'CIP Summary'!$M$6,FALSE))</f>
        <v>6</v>
      </c>
      <c r="Q12" s="180">
        <f>IF(B12="repair &amp; replace",RR_Construction,VLOOKUP(B12,CIP_Summary,'CIP Summary'!$N$6,FALSE))</f>
        <v>6</v>
      </c>
      <c r="R12" s="180">
        <f>IF(B12="repair &amp; replace",RR_Float,VLOOKUP(B12,CIP_Summary,'CIP Summary'!$O$6,FALSE))</f>
        <v>3</v>
      </c>
      <c r="S12" s="90">
        <f t="shared" si="5"/>
        <v>2020</v>
      </c>
      <c r="T12" s="90">
        <f t="shared" si="6"/>
        <v>2021</v>
      </c>
    </row>
    <row r="13" spans="1:20" ht="28.2" x14ac:dyDescent="0.3">
      <c r="A13" s="56">
        <v>6</v>
      </c>
      <c r="B13" s="58" t="s">
        <v>71</v>
      </c>
      <c r="C13" s="57" t="s">
        <v>35</v>
      </c>
      <c r="D13" s="57" t="s">
        <v>73</v>
      </c>
      <c r="E13" s="315">
        <v>7011</v>
      </c>
      <c r="F13" s="296" t="s">
        <v>9</v>
      </c>
      <c r="G13" s="228" t="str">
        <f>IF(B13="Repair &amp; Replace",RRCostProjection,VLOOKUP(B13,CIP_Summary,'CIP Summary'!$C$6,FALSE))</f>
        <v>Escalation</v>
      </c>
      <c r="H13" s="228">
        <f t="shared" si="0"/>
        <v>0</v>
      </c>
      <c r="I13" s="314">
        <f t="shared" si="1"/>
        <v>701.1</v>
      </c>
      <c r="J13" s="314">
        <f t="shared" si="7"/>
        <v>7712.1</v>
      </c>
      <c r="K13" s="316">
        <f>VLOOKUP(B13,CIP_Summary,'CIP Summary'!$G$6,FALSE)</f>
        <v>2022</v>
      </c>
      <c r="L13" s="374">
        <f>IF(B13="repair &amp; replace",VLOOKUP(K13,RR_ENR,2,FALSE),VLOOKUP(B13,CIP_Summary,'CIP Summary'!$H$6,FALSE))</f>
        <v>0</v>
      </c>
      <c r="M13" s="86">
        <f t="shared" si="2"/>
        <v>8940.4375884090296</v>
      </c>
      <c r="N13" s="340">
        <f t="shared" si="3"/>
        <v>0</v>
      </c>
      <c r="O13" s="228">
        <f t="shared" si="4"/>
        <v>812.76705349172994</v>
      </c>
      <c r="P13" s="180">
        <f>IF(B13="Repair &amp; Replace",0,VLOOKUP(B13,CIP_Summary,'CIP Summary'!$M$6,FALSE))</f>
        <v>6</v>
      </c>
      <c r="Q13" s="180">
        <f>IF(B13="repair &amp; replace",RR_Construction,VLOOKUP(B13,CIP_Summary,'CIP Summary'!$N$6,FALSE))</f>
        <v>6</v>
      </c>
      <c r="R13" s="180">
        <f>IF(B13="repair &amp; replace",RR_Float,VLOOKUP(B13,CIP_Summary,'CIP Summary'!$O$6,FALSE))</f>
        <v>3</v>
      </c>
      <c r="S13" s="90">
        <f t="shared" si="5"/>
        <v>2020</v>
      </c>
      <c r="T13" s="90">
        <f t="shared" si="6"/>
        <v>2021</v>
      </c>
    </row>
    <row r="14" spans="1:20" ht="28.2" x14ac:dyDescent="0.3">
      <c r="A14" s="56">
        <v>7</v>
      </c>
      <c r="B14" s="58" t="s">
        <v>71</v>
      </c>
      <c r="C14" s="57" t="s">
        <v>35</v>
      </c>
      <c r="D14" s="57" t="s">
        <v>74</v>
      </c>
      <c r="E14" s="315">
        <v>2305</v>
      </c>
      <c r="F14" s="296" t="s">
        <v>9</v>
      </c>
      <c r="G14" s="228" t="str">
        <f>IF(B14="Repair &amp; Replace",RRCostProjection,VLOOKUP(B14,CIP_Summary,'CIP Summary'!$C$6,FALSE))</f>
        <v>Escalation</v>
      </c>
      <c r="H14" s="228">
        <f t="shared" si="0"/>
        <v>0</v>
      </c>
      <c r="I14" s="314">
        <f t="shared" si="1"/>
        <v>230.5</v>
      </c>
      <c r="J14" s="314">
        <f t="shared" si="7"/>
        <v>2535.5</v>
      </c>
      <c r="K14" s="316">
        <f>VLOOKUP(B14,CIP_Summary,'CIP Summary'!$G$6,FALSE)</f>
        <v>2022</v>
      </c>
      <c r="L14" s="374">
        <f>IF(B14="repair &amp; replace",VLOOKUP(K14,RR_ENR,2,FALSE),VLOOKUP(B14,CIP_Summary,'CIP Summary'!$H$6,FALSE))</f>
        <v>0</v>
      </c>
      <c r="M14" s="86">
        <f t="shared" si="2"/>
        <v>2939.3394153876498</v>
      </c>
      <c r="N14" s="340">
        <f t="shared" si="3"/>
        <v>0</v>
      </c>
      <c r="O14" s="228">
        <f t="shared" si="4"/>
        <v>267.21267412614998</v>
      </c>
      <c r="P14" s="180">
        <f>IF(B14="Repair &amp; Replace",0,VLOOKUP(B14,CIP_Summary,'CIP Summary'!$M$6,FALSE))</f>
        <v>6</v>
      </c>
      <c r="Q14" s="180">
        <f>IF(B14="repair &amp; replace",RR_Construction,VLOOKUP(B14,CIP_Summary,'CIP Summary'!$N$6,FALSE))</f>
        <v>6</v>
      </c>
      <c r="R14" s="180">
        <f>IF(B14="repair &amp; replace",RR_Float,VLOOKUP(B14,CIP_Summary,'CIP Summary'!$O$6,FALSE))</f>
        <v>3</v>
      </c>
      <c r="S14" s="90">
        <f t="shared" si="5"/>
        <v>2020</v>
      </c>
      <c r="T14" s="90">
        <f t="shared" si="6"/>
        <v>2021</v>
      </c>
    </row>
    <row r="15" spans="1:20" ht="28.2" x14ac:dyDescent="0.3">
      <c r="A15" s="56">
        <v>8</v>
      </c>
      <c r="B15" s="58" t="s">
        <v>71</v>
      </c>
      <c r="C15" s="57" t="s">
        <v>35</v>
      </c>
      <c r="D15" s="57" t="s">
        <v>75</v>
      </c>
      <c r="E15" s="315">
        <v>2425</v>
      </c>
      <c r="F15" s="296" t="s">
        <v>9</v>
      </c>
      <c r="G15" s="228" t="str">
        <f>IF(B15="Repair &amp; Replace",RRCostProjection,VLOOKUP(B15,CIP_Summary,'CIP Summary'!$C$6,FALSE))</f>
        <v>Escalation</v>
      </c>
      <c r="H15" s="228">
        <f t="shared" si="0"/>
        <v>0</v>
      </c>
      <c r="I15" s="314">
        <f t="shared" si="1"/>
        <v>242.5</v>
      </c>
      <c r="J15" s="314">
        <f t="shared" si="7"/>
        <v>2667.5</v>
      </c>
      <c r="K15" s="316">
        <f>VLOOKUP(B15,CIP_Summary,'CIP Summary'!$G$6,FALSE)</f>
        <v>2022</v>
      </c>
      <c r="L15" s="374">
        <f>IF(B15="repair &amp; replace",VLOOKUP(K15,RR_ENR,2,FALSE),VLOOKUP(B15,CIP_Summary,'CIP Summary'!$H$6,FALSE))</f>
        <v>0</v>
      </c>
      <c r="M15" s="86">
        <f t="shared" si="2"/>
        <v>3092.3635931952495</v>
      </c>
      <c r="N15" s="340">
        <f t="shared" si="3"/>
        <v>0</v>
      </c>
      <c r="O15" s="228">
        <f t="shared" si="4"/>
        <v>281.12396301774999</v>
      </c>
      <c r="P15" s="180">
        <f>IF(B15="Repair &amp; Replace",0,VLOOKUP(B15,CIP_Summary,'CIP Summary'!$M$6,FALSE))</f>
        <v>6</v>
      </c>
      <c r="Q15" s="180">
        <f>IF(B15="repair &amp; replace",RR_Construction,VLOOKUP(B15,CIP_Summary,'CIP Summary'!$N$6,FALSE))</f>
        <v>6</v>
      </c>
      <c r="R15" s="180">
        <f>IF(B15="repair &amp; replace",RR_Float,VLOOKUP(B15,CIP_Summary,'CIP Summary'!$O$6,FALSE))</f>
        <v>3</v>
      </c>
      <c r="S15" s="90">
        <f t="shared" si="5"/>
        <v>2020</v>
      </c>
      <c r="T15" s="90">
        <f t="shared" si="6"/>
        <v>2021</v>
      </c>
    </row>
    <row r="16" spans="1:20" ht="42" x14ac:dyDescent="0.3">
      <c r="A16" s="56">
        <v>9</v>
      </c>
      <c r="B16" s="58" t="s">
        <v>71</v>
      </c>
      <c r="C16" s="58" t="s">
        <v>35</v>
      </c>
      <c r="D16" s="59" t="s">
        <v>76</v>
      </c>
      <c r="E16" s="315">
        <v>33171</v>
      </c>
      <c r="F16" s="296" t="s">
        <v>9</v>
      </c>
      <c r="G16" s="228" t="str">
        <f>IF(B16="Repair &amp; Replace",RRCostProjection,VLOOKUP(B16,CIP_Summary,'CIP Summary'!$C$6,FALSE))</f>
        <v>Escalation</v>
      </c>
      <c r="H16" s="228">
        <f t="shared" si="0"/>
        <v>0</v>
      </c>
      <c r="I16" s="314">
        <f t="shared" si="1"/>
        <v>3317.1000000000004</v>
      </c>
      <c r="J16" s="314">
        <f t="shared" si="7"/>
        <v>36488.100000000006</v>
      </c>
      <c r="K16" s="316">
        <f>VLOOKUP(B16,CIP_Summary,'CIP Summary'!$G$6,FALSE)</f>
        <v>2022</v>
      </c>
      <c r="L16" s="374">
        <f>IF(B16="repair &amp; replace",VLOOKUP(K16,RR_ENR,2,FALSE),VLOOKUP(B16,CIP_Summary,'CIP Summary'!$H$6,FALSE))</f>
        <v>0</v>
      </c>
      <c r="M16" s="86">
        <f t="shared" si="2"/>
        <v>42299.708350465829</v>
      </c>
      <c r="N16" s="340">
        <f t="shared" si="3"/>
        <v>0</v>
      </c>
      <c r="O16" s="228">
        <f t="shared" si="4"/>
        <v>3845.4280318605297</v>
      </c>
      <c r="P16" s="180">
        <f>IF(B16="Repair &amp; Replace",0,VLOOKUP(B16,CIP_Summary,'CIP Summary'!$M$6,FALSE))</f>
        <v>6</v>
      </c>
      <c r="Q16" s="180">
        <f>IF(B16="repair &amp; replace",RR_Construction,VLOOKUP(B16,CIP_Summary,'CIP Summary'!$N$6,FALSE))</f>
        <v>6</v>
      </c>
      <c r="R16" s="180">
        <f>IF(B16="repair &amp; replace",RR_Float,VLOOKUP(B16,CIP_Summary,'CIP Summary'!$O$6,FALSE))</f>
        <v>3</v>
      </c>
      <c r="S16" s="90">
        <f t="shared" si="5"/>
        <v>2020</v>
      </c>
      <c r="T16" s="90">
        <f t="shared" si="6"/>
        <v>2021</v>
      </c>
    </row>
    <row r="17" spans="1:22" x14ac:dyDescent="0.3">
      <c r="A17" s="56">
        <v>10</v>
      </c>
      <c r="B17" s="58" t="s">
        <v>96</v>
      </c>
      <c r="C17" s="57" t="s">
        <v>35</v>
      </c>
      <c r="D17" s="57" t="s">
        <v>95</v>
      </c>
      <c r="E17" s="315">
        <v>318000</v>
      </c>
      <c r="F17" s="296" t="s">
        <v>9</v>
      </c>
      <c r="G17" s="228" t="str">
        <f>IF(B17="Repair &amp; Replace",RRCostProjection,VLOOKUP(B17,CIP_Summary,'CIP Summary'!$C$6,FALSE))</f>
        <v>Escalation</v>
      </c>
      <c r="H17" s="228">
        <f t="shared" si="0"/>
        <v>0</v>
      </c>
      <c r="I17" s="314">
        <f t="shared" si="1"/>
        <v>31800</v>
      </c>
      <c r="J17" s="314">
        <f t="shared" si="7"/>
        <v>349800</v>
      </c>
      <c r="K17" s="316">
        <v>2020</v>
      </c>
      <c r="L17" s="374">
        <f>IF(B17="repair &amp; replace",VLOOKUP(K17,RR_ENR,2,FALSE),VLOOKUP(B17,CIP_Summary,'CIP Summary'!$H$6,FALSE))</f>
        <v>0</v>
      </c>
      <c r="M17" s="86">
        <f t="shared" si="2"/>
        <v>382235.90460000001</v>
      </c>
      <c r="N17" s="340">
        <f t="shared" si="3"/>
        <v>0</v>
      </c>
      <c r="O17" s="228">
        <f t="shared" si="4"/>
        <v>34748.7186</v>
      </c>
      <c r="P17" s="180">
        <f>IF(B17="Repair &amp; Replace",0,VLOOKUP(B17,CIP_Summary,'CIP Summary'!$M$6,FALSE))</f>
        <v>0</v>
      </c>
      <c r="Q17" s="180">
        <f>IF(B17="repair &amp; replace",RR_Construction,VLOOKUP(B17,CIP_Summary,'CIP Summary'!$N$6,FALSE))</f>
        <v>6</v>
      </c>
      <c r="R17" s="180">
        <f>IF(B17="repair &amp; replace",RR_Float,VLOOKUP(B17,CIP_Summary,'CIP Summary'!$O$6,FALSE))</f>
        <v>6</v>
      </c>
      <c r="S17" s="90">
        <f t="shared" si="5"/>
        <v>2019</v>
      </c>
      <c r="T17" s="90">
        <f t="shared" si="6"/>
        <v>2019</v>
      </c>
    </row>
    <row r="18" spans="1:22" ht="28.2" x14ac:dyDescent="0.3">
      <c r="A18" s="56">
        <v>11</v>
      </c>
      <c r="B18" s="58" t="s">
        <v>218</v>
      </c>
      <c r="C18" s="57" t="s">
        <v>35</v>
      </c>
      <c r="D18" s="58" t="s">
        <v>314</v>
      </c>
      <c r="E18" s="315">
        <f>23500*3</f>
        <v>70500</v>
      </c>
      <c r="F18" s="296" t="s">
        <v>10</v>
      </c>
      <c r="G18" s="228" t="str">
        <f>IF(B18="Repair &amp; Replace",RRCostProjection,VLOOKUP(B18,CIP_Summary,'CIP Summary'!$C$6,FALSE))</f>
        <v>Escalation</v>
      </c>
      <c r="H18" s="228">
        <f t="shared" si="0"/>
        <v>10575</v>
      </c>
      <c r="I18" s="314">
        <f t="shared" si="1"/>
        <v>7050</v>
      </c>
      <c r="J18" s="314">
        <f t="shared" si="7"/>
        <v>88125</v>
      </c>
      <c r="K18" s="316">
        <v>2020</v>
      </c>
      <c r="L18" s="374">
        <f>IF(B18="repair &amp; replace",VLOOKUP(K18,RR_ENR,2,FALSE),VLOOKUP(B18,CIP_Summary,'CIP Summary'!$H$6,FALSE))</f>
        <v>0</v>
      </c>
      <c r="M18" s="86">
        <f t="shared" si="2"/>
        <v>96296.566875000004</v>
      </c>
      <c r="N18" s="340">
        <f t="shared" si="3"/>
        <v>11555.588024999999</v>
      </c>
      <c r="O18" s="228">
        <f t="shared" si="4"/>
        <v>7703.7253499999997</v>
      </c>
      <c r="P18" s="180">
        <f>IF(B18="Repair &amp; Replace",0,VLOOKUP(B18,CIP_Summary,'CIP Summary'!$M$6,FALSE))</f>
        <v>12</v>
      </c>
      <c r="Q18" s="180">
        <f>IF(B18="repair &amp; replace",RR_Construction,VLOOKUP(B18,CIP_Summary,'CIP Summary'!$N$6,FALSE))</f>
        <v>18</v>
      </c>
      <c r="R18" s="180">
        <f>IF(B18="repair &amp; replace",RR_Float,VLOOKUP(B18,CIP_Summary,'CIP Summary'!$O$6,FALSE))</f>
        <v>6</v>
      </c>
      <c r="S18" s="90">
        <f t="shared" si="5"/>
        <v>2017</v>
      </c>
      <c r="T18" s="90">
        <f t="shared" si="6"/>
        <v>2018</v>
      </c>
    </row>
    <row r="19" spans="1:22" ht="28.2" x14ac:dyDescent="0.3">
      <c r="A19" s="56">
        <v>12</v>
      </c>
      <c r="B19" s="58" t="s">
        <v>96</v>
      </c>
      <c r="C19" s="58" t="s">
        <v>35</v>
      </c>
      <c r="D19" s="57" t="s">
        <v>98</v>
      </c>
      <c r="E19" s="315">
        <v>245656</v>
      </c>
      <c r="F19" s="296" t="s">
        <v>9</v>
      </c>
      <c r="G19" s="228" t="str">
        <f>IF(B19="Repair &amp; Replace",RRCostProjection,VLOOKUP(B19,CIP_Summary,'CIP Summary'!$C$6,FALSE))</f>
        <v>Escalation</v>
      </c>
      <c r="H19" s="228">
        <f t="shared" si="0"/>
        <v>0</v>
      </c>
      <c r="I19" s="314">
        <f t="shared" si="1"/>
        <v>24565.600000000002</v>
      </c>
      <c r="J19" s="314">
        <f t="shared" si="7"/>
        <v>270221.60000000003</v>
      </c>
      <c r="K19" s="90">
        <v>2020</v>
      </c>
      <c r="L19" s="374">
        <f>IF(B19="repair &amp; replace",VLOOKUP(K19,RR_ENR,2,FALSE),VLOOKUP(B19,CIP_Summary,'CIP Summary'!$H$6,FALSE))</f>
        <v>0</v>
      </c>
      <c r="M19" s="86">
        <f t="shared" si="2"/>
        <v>295278.43830320006</v>
      </c>
      <c r="N19" s="340">
        <f t="shared" si="3"/>
        <v>0</v>
      </c>
      <c r="O19" s="228">
        <f t="shared" si="4"/>
        <v>26843.494391200005</v>
      </c>
      <c r="P19" s="180">
        <f>IF(B19="Repair &amp; Replace",0,VLOOKUP(B19,CIP_Summary,'CIP Summary'!$M$6,FALSE))</f>
        <v>0</v>
      </c>
      <c r="Q19" s="180">
        <f>IF(B19="repair &amp; replace",RR_Construction,VLOOKUP(B19,CIP_Summary,'CIP Summary'!$N$6,FALSE))</f>
        <v>6</v>
      </c>
      <c r="R19" s="180">
        <f>IF(B19="repair &amp; replace",RR_Float,VLOOKUP(B19,CIP_Summary,'CIP Summary'!$O$6,FALSE))</f>
        <v>6</v>
      </c>
      <c r="S19" s="90">
        <f t="shared" si="5"/>
        <v>2019</v>
      </c>
      <c r="T19" s="90">
        <f t="shared" si="6"/>
        <v>2019</v>
      </c>
    </row>
    <row r="20" spans="1:22" x14ac:dyDescent="0.3">
      <c r="A20" s="56">
        <v>13</v>
      </c>
      <c r="B20" s="58" t="s">
        <v>96</v>
      </c>
      <c r="C20" s="57" t="s">
        <v>35</v>
      </c>
      <c r="D20" s="57" t="s">
        <v>99</v>
      </c>
      <c r="E20" s="315">
        <v>62108</v>
      </c>
      <c r="F20" s="296" t="s">
        <v>9</v>
      </c>
      <c r="G20" s="228" t="str">
        <f>IF(B20="Repair &amp; Replace",RRCostProjection,VLOOKUP(B20,CIP_Summary,'CIP Summary'!$C$6,FALSE))</f>
        <v>Escalation</v>
      </c>
      <c r="H20" s="228">
        <f t="shared" si="0"/>
        <v>0</v>
      </c>
      <c r="I20" s="314">
        <f t="shared" si="1"/>
        <v>6210.8</v>
      </c>
      <c r="J20" s="314">
        <f t="shared" si="7"/>
        <v>68318.8</v>
      </c>
      <c r="K20" s="324">
        <v>2022</v>
      </c>
      <c r="L20" s="374">
        <f>IF(B20="repair &amp; replace",VLOOKUP(K20,RR_ENR,2,FALSE),VLOOKUP(B20,CIP_Summary,'CIP Summary'!$H$6,FALSE))</f>
        <v>0</v>
      </c>
      <c r="M20" s="86">
        <f t="shared" si="2"/>
        <v>79200.213627286837</v>
      </c>
      <c r="N20" s="340">
        <f t="shared" si="3"/>
        <v>0</v>
      </c>
      <c r="O20" s="228">
        <f t="shared" si="4"/>
        <v>7200.0194206624392</v>
      </c>
      <c r="P20" s="180">
        <f>IF(B20="Repair &amp; Replace",0,VLOOKUP(B20,CIP_Summary,'CIP Summary'!$M$6,FALSE))</f>
        <v>0</v>
      </c>
      <c r="Q20" s="180">
        <f>IF(B20="repair &amp; replace",RR_Construction,VLOOKUP(B20,CIP_Summary,'CIP Summary'!$N$6,FALSE))</f>
        <v>6</v>
      </c>
      <c r="R20" s="180">
        <f>IF(B20="repair &amp; replace",RR_Float,VLOOKUP(B20,CIP_Summary,'CIP Summary'!$O$6,FALSE))</f>
        <v>6</v>
      </c>
      <c r="S20" s="90">
        <f t="shared" si="5"/>
        <v>2021</v>
      </c>
      <c r="T20" s="90">
        <f t="shared" si="6"/>
        <v>2021</v>
      </c>
    </row>
    <row r="21" spans="1:22" x14ac:dyDescent="0.3">
      <c r="A21" s="56">
        <v>14</v>
      </c>
      <c r="B21" s="58" t="s">
        <v>96</v>
      </c>
      <c r="C21" s="57" t="s">
        <v>35</v>
      </c>
      <c r="D21" s="57" t="s">
        <v>100</v>
      </c>
      <c r="E21" s="315">
        <v>188760</v>
      </c>
      <c r="F21" s="296" t="s">
        <v>9</v>
      </c>
      <c r="G21" s="228" t="str">
        <f>IF(B21="Repair &amp; Replace",RRCostProjection,VLOOKUP(B21,CIP_Summary,'CIP Summary'!$C$6,FALSE))</f>
        <v>Escalation</v>
      </c>
      <c r="H21" s="228">
        <f t="shared" si="0"/>
        <v>0</v>
      </c>
      <c r="I21" s="314">
        <f t="shared" si="1"/>
        <v>18876</v>
      </c>
      <c r="J21" s="314">
        <f t="shared" si="7"/>
        <v>207636.00000000003</v>
      </c>
      <c r="K21" s="316">
        <v>2020</v>
      </c>
      <c r="L21" s="374">
        <f>IF(B21="repair &amp; replace",VLOOKUP(K21,RR_ENR,2,FALSE),VLOOKUP(B21,CIP_Summary,'CIP Summary'!$H$6,FALSE))</f>
        <v>0</v>
      </c>
      <c r="M21" s="86">
        <f t="shared" si="2"/>
        <v>226889.46337200003</v>
      </c>
      <c r="N21" s="340">
        <f t="shared" si="3"/>
        <v>0</v>
      </c>
      <c r="O21" s="228">
        <f t="shared" si="4"/>
        <v>20626.314852</v>
      </c>
      <c r="P21" s="180">
        <f>IF(B21="Repair &amp; Replace",0,VLOOKUP(B21,CIP_Summary,'CIP Summary'!$M$6,FALSE))</f>
        <v>0</v>
      </c>
      <c r="Q21" s="180">
        <f>IF(B21="repair &amp; replace",RR_Construction,VLOOKUP(B21,CIP_Summary,'CIP Summary'!$N$6,FALSE))</f>
        <v>6</v>
      </c>
      <c r="R21" s="180">
        <f>IF(B21="repair &amp; replace",RR_Float,VLOOKUP(B21,CIP_Summary,'CIP Summary'!$O$6,FALSE))</f>
        <v>6</v>
      </c>
      <c r="S21" s="90">
        <f t="shared" si="5"/>
        <v>2019</v>
      </c>
      <c r="T21" s="90">
        <f t="shared" si="6"/>
        <v>2019</v>
      </c>
    </row>
    <row r="22" spans="1:22" x14ac:dyDescent="0.3">
      <c r="A22" s="56">
        <v>15</v>
      </c>
      <c r="B22" s="58" t="s">
        <v>96</v>
      </c>
      <c r="C22" s="57" t="s">
        <v>35</v>
      </c>
      <c r="D22" s="57" t="s">
        <v>101</v>
      </c>
      <c r="E22" s="315">
        <v>302400</v>
      </c>
      <c r="F22" s="296" t="s">
        <v>9</v>
      </c>
      <c r="G22" s="228" t="str">
        <f>IF(B22="Repair &amp; Replace",RRCostProjection,VLOOKUP(B22,CIP_Summary,'CIP Summary'!$C$6,FALSE))</f>
        <v>Escalation</v>
      </c>
      <c r="H22" s="228">
        <f t="shared" si="0"/>
        <v>0</v>
      </c>
      <c r="I22" s="314">
        <f t="shared" si="1"/>
        <v>30240</v>
      </c>
      <c r="J22" s="314">
        <f t="shared" si="7"/>
        <v>332640</v>
      </c>
      <c r="K22" s="316">
        <v>2022</v>
      </c>
      <c r="L22" s="374">
        <f>IF(B22="repair &amp; replace",VLOOKUP(K22,RR_ENR,2,FALSE),VLOOKUP(B22,CIP_Summary,'CIP Summary'!$H$6,FALSE))</f>
        <v>0</v>
      </c>
      <c r="M22" s="86">
        <f t="shared" si="2"/>
        <v>385620.92807515193</v>
      </c>
      <c r="N22" s="340">
        <f t="shared" si="3"/>
        <v>0</v>
      </c>
      <c r="O22" s="228">
        <f t="shared" si="4"/>
        <v>35056.44800683199</v>
      </c>
      <c r="P22" s="180">
        <f>IF(B22="Repair &amp; Replace",0,VLOOKUP(B22,CIP_Summary,'CIP Summary'!$M$6,FALSE))</f>
        <v>0</v>
      </c>
      <c r="Q22" s="180">
        <f>IF(B22="repair &amp; replace",RR_Construction,VLOOKUP(B22,CIP_Summary,'CIP Summary'!$N$6,FALSE))</f>
        <v>6</v>
      </c>
      <c r="R22" s="180">
        <f>IF(B22="repair &amp; replace",RR_Float,VLOOKUP(B22,CIP_Summary,'CIP Summary'!$O$6,FALSE))</f>
        <v>6</v>
      </c>
      <c r="S22" s="90">
        <f t="shared" si="5"/>
        <v>2021</v>
      </c>
      <c r="T22" s="90">
        <f t="shared" si="6"/>
        <v>2021</v>
      </c>
    </row>
    <row r="23" spans="1:22" x14ac:dyDescent="0.3">
      <c r="A23" s="56">
        <v>16</v>
      </c>
      <c r="B23" s="58" t="s">
        <v>96</v>
      </c>
      <c r="C23" s="57" t="s">
        <v>35</v>
      </c>
      <c r="D23" s="57" t="s">
        <v>102</v>
      </c>
      <c r="E23" s="315">
        <v>46051</v>
      </c>
      <c r="F23" s="296" t="s">
        <v>9</v>
      </c>
      <c r="G23" s="228" t="str">
        <f>IF(B23="Repair &amp; Replace",RRCostProjection,VLOOKUP(B23,CIP_Summary,'CIP Summary'!$C$6,FALSE))</f>
        <v>Escalation</v>
      </c>
      <c r="H23" s="228">
        <f t="shared" si="0"/>
        <v>0</v>
      </c>
      <c r="I23" s="314">
        <f t="shared" si="1"/>
        <v>4605.1000000000004</v>
      </c>
      <c r="J23" s="314">
        <f t="shared" si="7"/>
        <v>50656.100000000006</v>
      </c>
      <c r="K23" s="90">
        <v>2022</v>
      </c>
      <c r="L23" s="374">
        <f>IF(B23="repair &amp; replace",VLOOKUP(K23,RR_ENR,2,FALSE),VLOOKUP(B23,CIP_Summary,'CIP Summary'!$H$6,FALSE))</f>
        <v>0</v>
      </c>
      <c r="M23" s="86">
        <f t="shared" si="2"/>
        <v>58724.303435148227</v>
      </c>
      <c r="N23" s="340">
        <f t="shared" si="3"/>
        <v>0</v>
      </c>
      <c r="O23" s="228">
        <f t="shared" si="4"/>
        <v>5338.5730395589298</v>
      </c>
      <c r="P23" s="180">
        <f>IF(B23="Repair &amp; Replace",0,VLOOKUP(B23,CIP_Summary,'CIP Summary'!$M$6,FALSE))</f>
        <v>0</v>
      </c>
      <c r="Q23" s="180">
        <f>IF(B23="repair &amp; replace",RR_Construction,VLOOKUP(B23,CIP_Summary,'CIP Summary'!$N$6,FALSE))</f>
        <v>6</v>
      </c>
      <c r="R23" s="180">
        <f>IF(B23="repair &amp; replace",RR_Float,VLOOKUP(B23,CIP_Summary,'CIP Summary'!$O$6,FALSE))</f>
        <v>6</v>
      </c>
      <c r="S23" s="90">
        <f t="shared" si="5"/>
        <v>2021</v>
      </c>
      <c r="T23" s="90">
        <f t="shared" si="6"/>
        <v>2021</v>
      </c>
    </row>
    <row r="24" spans="1:22" x14ac:dyDescent="0.3">
      <c r="A24" s="56">
        <v>17</v>
      </c>
      <c r="B24" s="58" t="s">
        <v>96</v>
      </c>
      <c r="C24" s="57" t="s">
        <v>35</v>
      </c>
      <c r="D24" s="57" t="s">
        <v>103</v>
      </c>
      <c r="E24" s="315">
        <v>198750</v>
      </c>
      <c r="F24" s="296" t="s">
        <v>9</v>
      </c>
      <c r="G24" s="228" t="str">
        <f>IF(B24="Repair &amp; Replace",RRCostProjection,VLOOKUP(B24,CIP_Summary,'CIP Summary'!$C$6,FALSE))</f>
        <v>Escalation</v>
      </c>
      <c r="H24" s="228">
        <f t="shared" si="0"/>
        <v>0</v>
      </c>
      <c r="I24" s="314">
        <f t="shared" si="1"/>
        <v>19875</v>
      </c>
      <c r="J24" s="314">
        <f t="shared" si="7"/>
        <v>218625.00000000003</v>
      </c>
      <c r="K24" s="316">
        <v>2027</v>
      </c>
      <c r="L24" s="374">
        <f>IF(B24="repair &amp; replace",VLOOKUP(K24,RR_ENR,2,FALSE),VLOOKUP(B24,CIP_Summary,'CIP Summary'!$H$6,FALSE))</f>
        <v>0</v>
      </c>
      <c r="M24" s="86">
        <f t="shared" si="2"/>
        <v>293813.71843410865</v>
      </c>
      <c r="N24" s="340">
        <f t="shared" si="3"/>
        <v>0</v>
      </c>
      <c r="O24" s="228">
        <f t="shared" si="4"/>
        <v>26710.338039464419</v>
      </c>
      <c r="P24" s="180">
        <f>IF(B24="Repair &amp; Replace",0,VLOOKUP(B24,CIP_Summary,'CIP Summary'!$M$6,FALSE))</f>
        <v>0</v>
      </c>
      <c r="Q24" s="180">
        <f>IF(B24="repair &amp; replace",RR_Construction,VLOOKUP(B24,CIP_Summary,'CIP Summary'!$N$6,FALSE))</f>
        <v>6</v>
      </c>
      <c r="R24" s="180">
        <f>IF(B24="repair &amp; replace",RR_Float,VLOOKUP(B24,CIP_Summary,'CIP Summary'!$O$6,FALSE))</f>
        <v>6</v>
      </c>
      <c r="S24" s="90">
        <f t="shared" si="5"/>
        <v>2026</v>
      </c>
      <c r="T24" s="90">
        <f t="shared" si="6"/>
        <v>2026</v>
      </c>
    </row>
    <row r="25" spans="1:22" x14ac:dyDescent="0.3">
      <c r="A25" s="56">
        <v>18</v>
      </c>
      <c r="B25" s="58" t="s">
        <v>96</v>
      </c>
      <c r="C25" s="57" t="s">
        <v>35</v>
      </c>
      <c r="D25" s="58" t="s">
        <v>104</v>
      </c>
      <c r="E25" s="315">
        <v>84000</v>
      </c>
      <c r="F25" s="296" t="s">
        <v>9</v>
      </c>
      <c r="G25" s="228" t="str">
        <f>IF(B25="Repair &amp; Replace",RRCostProjection,VLOOKUP(B25,CIP_Summary,'CIP Summary'!$C$6,FALSE))</f>
        <v>Escalation</v>
      </c>
      <c r="H25" s="228">
        <f t="shared" si="0"/>
        <v>0</v>
      </c>
      <c r="I25" s="314">
        <f t="shared" si="1"/>
        <v>8400</v>
      </c>
      <c r="J25" s="314">
        <f t="shared" si="7"/>
        <v>92400.000000000015</v>
      </c>
      <c r="K25" s="316">
        <v>2027</v>
      </c>
      <c r="L25" s="374">
        <f>IF(B25="repair &amp; replace",VLOOKUP(K25,RR_ENR,2,FALSE),VLOOKUP(B25,CIP_Summary,'CIP Summary'!$H$6,FALSE))</f>
        <v>0</v>
      </c>
      <c r="M25" s="86">
        <f t="shared" si="2"/>
        <v>124177.87345139687</v>
      </c>
      <c r="N25" s="340">
        <f t="shared" si="3"/>
        <v>0</v>
      </c>
      <c r="O25" s="228">
        <f t="shared" si="4"/>
        <v>11288.897586490622</v>
      </c>
      <c r="P25" s="180">
        <f>IF(B25="Repair &amp; Replace",0,VLOOKUP(B25,CIP_Summary,'CIP Summary'!$M$6,FALSE))</f>
        <v>0</v>
      </c>
      <c r="Q25" s="180">
        <f>IF(B25="repair &amp; replace",RR_Construction,VLOOKUP(B25,CIP_Summary,'CIP Summary'!$N$6,FALSE))</f>
        <v>6</v>
      </c>
      <c r="R25" s="180">
        <f>IF(B25="repair &amp; replace",RR_Float,VLOOKUP(B25,CIP_Summary,'CIP Summary'!$O$6,FALSE))</f>
        <v>6</v>
      </c>
      <c r="S25" s="90">
        <f t="shared" si="5"/>
        <v>2026</v>
      </c>
      <c r="T25" s="90">
        <f t="shared" si="6"/>
        <v>2026</v>
      </c>
      <c r="U25" s="285"/>
      <c r="V25" s="285"/>
    </row>
    <row r="26" spans="1:22" x14ac:dyDescent="0.3">
      <c r="A26" s="56">
        <v>19</v>
      </c>
      <c r="B26" s="58" t="s">
        <v>96</v>
      </c>
      <c r="C26" s="57" t="s">
        <v>35</v>
      </c>
      <c r="D26" s="58" t="s">
        <v>97</v>
      </c>
      <c r="E26" s="315">
        <v>23500</v>
      </c>
      <c r="F26" s="296" t="s">
        <v>9</v>
      </c>
      <c r="G26" s="228" t="str">
        <f>IF(B26="Repair &amp; Replace",RRCostProjection,VLOOKUP(B26,CIP_Summary,'CIP Summary'!$C$6,FALSE))</f>
        <v>Escalation</v>
      </c>
      <c r="H26" s="228">
        <f t="shared" si="0"/>
        <v>0</v>
      </c>
      <c r="I26" s="314">
        <f t="shared" si="1"/>
        <v>2350</v>
      </c>
      <c r="J26" s="314">
        <f t="shared" si="7"/>
        <v>25850.000000000004</v>
      </c>
      <c r="K26" s="316">
        <v>2036</v>
      </c>
      <c r="L26" s="374">
        <f>IF(B26="repair &amp; replace",VLOOKUP(K26,RR_ENR,2,FALSE),VLOOKUP(B26,CIP_Summary,'CIP Summary'!$H$6,FALSE))</f>
        <v>0</v>
      </c>
      <c r="M26" s="86">
        <f t="shared" si="2"/>
        <v>45328.131472043046</v>
      </c>
      <c r="N26" s="340">
        <f t="shared" si="3"/>
        <v>0</v>
      </c>
      <c r="O26" s="228">
        <f t="shared" si="4"/>
        <v>4120.7392247311855</v>
      </c>
      <c r="P26" s="180">
        <f>IF(B26="Repair &amp; Replace",0,VLOOKUP(B26,CIP_Summary,'CIP Summary'!$M$6,FALSE))</f>
        <v>0</v>
      </c>
      <c r="Q26" s="180">
        <f>IF(B26="repair &amp; replace",RR_Construction,VLOOKUP(B26,CIP_Summary,'CIP Summary'!$N$6,FALSE))</f>
        <v>6</v>
      </c>
      <c r="R26" s="180">
        <f>IF(B26="repair &amp; replace",RR_Float,VLOOKUP(B26,CIP_Summary,'CIP Summary'!$O$6,FALSE))</f>
        <v>6</v>
      </c>
      <c r="S26" s="90">
        <f t="shared" si="5"/>
        <v>2035</v>
      </c>
      <c r="T26" s="90">
        <f t="shared" si="6"/>
        <v>2035</v>
      </c>
      <c r="U26" s="285"/>
      <c r="V26" s="285"/>
    </row>
    <row r="27" spans="1:22" ht="28.2" x14ac:dyDescent="0.3">
      <c r="A27" s="56">
        <v>20</v>
      </c>
      <c r="B27" s="58" t="s">
        <v>96</v>
      </c>
      <c r="C27" s="57" t="s">
        <v>35</v>
      </c>
      <c r="D27" s="57" t="s">
        <v>105</v>
      </c>
      <c r="E27" s="315">
        <v>640000</v>
      </c>
      <c r="F27" s="296" t="s">
        <v>9</v>
      </c>
      <c r="G27" s="228" t="str">
        <f>IF(B27="Repair &amp; Replace",RRCostProjection,VLOOKUP(B27,CIP_Summary,'CIP Summary'!$C$6,FALSE))</f>
        <v>Escalation</v>
      </c>
      <c r="H27" s="228">
        <f t="shared" si="0"/>
        <v>0</v>
      </c>
      <c r="I27" s="314">
        <f t="shared" si="1"/>
        <v>64000</v>
      </c>
      <c r="J27" s="314">
        <f t="shared" si="7"/>
        <v>704000</v>
      </c>
      <c r="K27" s="324">
        <v>2036</v>
      </c>
      <c r="L27" s="374">
        <f>IF(B27="repair &amp; replace",VLOOKUP(K27,RR_ENR,2,FALSE),VLOOKUP(B27,CIP_Summary,'CIP Summary'!$H$6,FALSE))</f>
        <v>0</v>
      </c>
      <c r="M27" s="86">
        <f t="shared" si="2"/>
        <v>1234468.2613662786</v>
      </c>
      <c r="N27" s="340">
        <f t="shared" si="3"/>
        <v>0</v>
      </c>
      <c r="O27" s="228">
        <f t="shared" si="4"/>
        <v>112224.38739693443</v>
      </c>
      <c r="P27" s="180">
        <f>IF(B27="Repair &amp; Replace",0,VLOOKUP(B27,CIP_Summary,'CIP Summary'!$M$6,FALSE))</f>
        <v>0</v>
      </c>
      <c r="Q27" s="180">
        <f>IF(B27="repair &amp; replace",RR_Construction,VLOOKUP(B27,CIP_Summary,'CIP Summary'!$N$6,FALSE))</f>
        <v>6</v>
      </c>
      <c r="R27" s="180">
        <f>IF(B27="repair &amp; replace",RR_Float,VLOOKUP(B27,CIP_Summary,'CIP Summary'!$O$6,FALSE))</f>
        <v>6</v>
      </c>
      <c r="S27" s="90">
        <f t="shared" si="5"/>
        <v>2035</v>
      </c>
      <c r="T27" s="90">
        <f t="shared" si="6"/>
        <v>2035</v>
      </c>
      <c r="U27" s="126"/>
      <c r="V27" s="126"/>
    </row>
    <row r="28" spans="1:22" x14ac:dyDescent="0.3">
      <c r="A28" s="56">
        <v>21</v>
      </c>
      <c r="B28" s="57" t="s">
        <v>219</v>
      </c>
      <c r="C28" s="57" t="s">
        <v>35</v>
      </c>
      <c r="D28" s="57" t="s">
        <v>106</v>
      </c>
      <c r="E28" s="315">
        <v>378229</v>
      </c>
      <c r="F28" s="296" t="s">
        <v>10</v>
      </c>
      <c r="G28" s="228" t="str">
        <f>IF(B28="Repair &amp; Replace",RRCostProjection,VLOOKUP(B28,CIP_Summary,'CIP Summary'!$C$6,FALSE))</f>
        <v>Escalation</v>
      </c>
      <c r="H28" s="228">
        <f t="shared" si="0"/>
        <v>56734.35</v>
      </c>
      <c r="I28" s="314">
        <f t="shared" si="1"/>
        <v>37822.9</v>
      </c>
      <c r="J28" s="314">
        <f t="shared" si="7"/>
        <v>472786.25</v>
      </c>
      <c r="K28" s="316">
        <f>VLOOKUP(B28,CIP_Summary,'CIP Summary'!$G$6,FALSE)</f>
        <v>2034</v>
      </c>
      <c r="L28" s="374">
        <f>IF(B28="repair &amp; replace",VLOOKUP(K28,RR_ENR,2,FALSE),VLOOKUP(B28,CIP_Summary,'CIP Summary'!$H$6,FALSE))</f>
        <v>0</v>
      </c>
      <c r="M28" s="86">
        <f t="shared" si="2"/>
        <v>781443.63388313993</v>
      </c>
      <c r="N28" s="340">
        <f t="shared" si="3"/>
        <v>93773.236065976787</v>
      </c>
      <c r="O28" s="228">
        <f t="shared" si="4"/>
        <v>62515.490710651196</v>
      </c>
      <c r="P28" s="180">
        <f>IF(B28="Repair &amp; Replace",0,VLOOKUP(B28,CIP_Summary,'CIP Summary'!$M$6,FALSE))</f>
        <v>12</v>
      </c>
      <c r="Q28" s="180">
        <f>IF(B28="repair &amp; replace",RR_Construction,VLOOKUP(B28,CIP_Summary,'CIP Summary'!$N$6,FALSE))</f>
        <v>24</v>
      </c>
      <c r="R28" s="180">
        <f>IF(B28="repair &amp; replace",RR_Float,VLOOKUP(B28,CIP_Summary,'CIP Summary'!$O$6,FALSE))</f>
        <v>6</v>
      </c>
      <c r="S28" s="90">
        <f t="shared" si="5"/>
        <v>2030</v>
      </c>
      <c r="T28" s="90">
        <f t="shared" si="6"/>
        <v>2031</v>
      </c>
      <c r="U28" s="126"/>
      <c r="V28" s="126"/>
    </row>
    <row r="29" spans="1:22" x14ac:dyDescent="0.3">
      <c r="A29" s="56">
        <v>22</v>
      </c>
      <c r="B29" s="58" t="s">
        <v>96</v>
      </c>
      <c r="C29" s="57" t="s">
        <v>35</v>
      </c>
      <c r="D29" s="57" t="s">
        <v>101</v>
      </c>
      <c r="E29" s="315">
        <v>302400</v>
      </c>
      <c r="F29" s="296" t="s">
        <v>9</v>
      </c>
      <c r="G29" s="228" t="str">
        <f>IF(B29="Repair &amp; Replace",RRCostProjection,VLOOKUP(B29,CIP_Summary,'CIP Summary'!$C$6,FALSE))</f>
        <v>Escalation</v>
      </c>
      <c r="H29" s="228">
        <f t="shared" si="0"/>
        <v>0</v>
      </c>
      <c r="I29" s="314">
        <f t="shared" si="1"/>
        <v>30240</v>
      </c>
      <c r="J29" s="314">
        <f t="shared" si="7"/>
        <v>332640</v>
      </c>
      <c r="K29" s="316">
        <v>2036</v>
      </c>
      <c r="L29" s="374">
        <f>IF(B29="repair &amp; replace",VLOOKUP(K29,RR_ENR,2,FALSE),VLOOKUP(B29,CIP_Summary,'CIP Summary'!$H$6,FALSE))</f>
        <v>0</v>
      </c>
      <c r="M29" s="86">
        <f t="shared" si="2"/>
        <v>583286.25349556666</v>
      </c>
      <c r="N29" s="340">
        <f t="shared" si="3"/>
        <v>0</v>
      </c>
      <c r="O29" s="228">
        <f t="shared" si="4"/>
        <v>53026.023045051516</v>
      </c>
      <c r="P29" s="180">
        <f>IF(B29="Repair &amp; Replace",0,VLOOKUP(B29,CIP_Summary,'CIP Summary'!$M$6,FALSE))</f>
        <v>0</v>
      </c>
      <c r="Q29" s="180">
        <f>IF(B29="repair &amp; replace",RR_Construction,VLOOKUP(B29,CIP_Summary,'CIP Summary'!$N$6,FALSE))</f>
        <v>6</v>
      </c>
      <c r="R29" s="180">
        <f>IF(B29="repair &amp; replace",RR_Float,VLOOKUP(B29,CIP_Summary,'CIP Summary'!$O$6,FALSE))</f>
        <v>6</v>
      </c>
      <c r="S29" s="90">
        <f t="shared" si="5"/>
        <v>2035</v>
      </c>
      <c r="T29" s="90">
        <f t="shared" si="6"/>
        <v>2035</v>
      </c>
      <c r="U29" s="126"/>
      <c r="V29" s="126"/>
    </row>
    <row r="30" spans="1:22" x14ac:dyDescent="0.3">
      <c r="A30" s="56">
        <v>23</v>
      </c>
      <c r="B30" s="58" t="s">
        <v>96</v>
      </c>
      <c r="C30" s="57" t="s">
        <v>35</v>
      </c>
      <c r="D30" s="57" t="s">
        <v>95</v>
      </c>
      <c r="E30" s="315">
        <v>369000</v>
      </c>
      <c r="F30" s="296" t="s">
        <v>9</v>
      </c>
      <c r="G30" s="228" t="str">
        <f>IF(B30="Repair &amp; Replace",RRCostProjection,VLOOKUP(B30,CIP_Summary,'CIP Summary'!$C$6,FALSE))</f>
        <v>Escalation</v>
      </c>
      <c r="H30" s="228">
        <f t="shared" si="0"/>
        <v>0</v>
      </c>
      <c r="I30" s="314">
        <f t="shared" si="1"/>
        <v>36900</v>
      </c>
      <c r="J30" s="314">
        <f t="shared" si="7"/>
        <v>405900.00000000006</v>
      </c>
      <c r="K30" s="316">
        <v>2036</v>
      </c>
      <c r="L30" s="374">
        <f>IF(B30="repair &amp; replace",VLOOKUP(K30,RR_ENR,2,FALSE),VLOOKUP(B30,CIP_Summary,'CIP Summary'!$H$6,FALSE))</f>
        <v>0</v>
      </c>
      <c r="M30" s="86">
        <f t="shared" si="2"/>
        <v>711748.10694399511</v>
      </c>
      <c r="N30" s="340">
        <f t="shared" si="3"/>
        <v>0</v>
      </c>
      <c r="O30" s="228">
        <f t="shared" si="4"/>
        <v>64704.373358545003</v>
      </c>
      <c r="P30" s="180">
        <f>IF(B30="Repair &amp; Replace",0,VLOOKUP(B30,CIP_Summary,'CIP Summary'!$M$6,FALSE))</f>
        <v>0</v>
      </c>
      <c r="Q30" s="180">
        <f>IF(B30="repair &amp; replace",RR_Construction,VLOOKUP(B30,CIP_Summary,'CIP Summary'!$N$6,FALSE))</f>
        <v>6</v>
      </c>
      <c r="R30" s="180">
        <f>IF(B30="repair &amp; replace",RR_Float,VLOOKUP(B30,CIP_Summary,'CIP Summary'!$O$6,FALSE))</f>
        <v>6</v>
      </c>
      <c r="S30" s="90">
        <f t="shared" si="5"/>
        <v>2035</v>
      </c>
      <c r="T30" s="90">
        <f t="shared" si="6"/>
        <v>2035</v>
      </c>
      <c r="U30" s="126"/>
      <c r="V30" s="126"/>
    </row>
    <row r="31" spans="1:22" ht="42" x14ac:dyDescent="0.3">
      <c r="A31" s="56">
        <v>24</v>
      </c>
      <c r="B31" s="58" t="s">
        <v>218</v>
      </c>
      <c r="C31" s="58" t="s">
        <v>38</v>
      </c>
      <c r="D31" s="58" t="s">
        <v>271</v>
      </c>
      <c r="E31" s="315">
        <v>566752</v>
      </c>
      <c r="F31" s="296" t="s">
        <v>10</v>
      </c>
      <c r="G31" s="228" t="str">
        <f>IF(B31="Repair &amp; Replace",RRCostProjection,VLOOKUP(B31,CIP_Summary,'CIP Summary'!$C$6,FALSE))</f>
        <v>Escalation</v>
      </c>
      <c r="H31" s="228">
        <f t="shared" si="0"/>
        <v>85012.800000000003</v>
      </c>
      <c r="I31" s="314">
        <f t="shared" si="1"/>
        <v>56675.200000000004</v>
      </c>
      <c r="J31" s="314">
        <f t="shared" si="7"/>
        <v>708440</v>
      </c>
      <c r="K31" s="325">
        <v>2022</v>
      </c>
      <c r="L31" s="374">
        <f>IF(B31="repair &amp; replace",VLOOKUP(K31,RR_ENR,2,FALSE),VLOOKUP(B31,CIP_Summary,'CIP Summary'!$H$6,FALSE))</f>
        <v>0</v>
      </c>
      <c r="M31" s="86">
        <f t="shared" si="2"/>
        <v>821276.12519709184</v>
      </c>
      <c r="N31" s="340">
        <f t="shared" si="3"/>
        <v>98553.135023651033</v>
      </c>
      <c r="O31" s="228">
        <f t="shared" si="4"/>
        <v>65702.09001576736</v>
      </c>
      <c r="P31" s="180">
        <f>IF(B31="Repair &amp; Replace",0,VLOOKUP(B31,CIP_Summary,'CIP Summary'!$M$6,FALSE))</f>
        <v>12</v>
      </c>
      <c r="Q31" s="180">
        <f>IF(B31="repair &amp; replace",RR_Construction,VLOOKUP(B31,CIP_Summary,'CIP Summary'!$N$6,FALSE))</f>
        <v>18</v>
      </c>
      <c r="R31" s="180">
        <f>IF(B31="repair &amp; replace",RR_Float,VLOOKUP(B31,CIP_Summary,'CIP Summary'!$O$6,FALSE))</f>
        <v>6</v>
      </c>
      <c r="S31" s="90">
        <f t="shared" si="5"/>
        <v>2019</v>
      </c>
      <c r="T31" s="90">
        <f t="shared" si="6"/>
        <v>2020</v>
      </c>
      <c r="U31" s="126"/>
      <c r="V31" s="126"/>
    </row>
    <row r="32" spans="1:22" ht="55.8" x14ac:dyDescent="0.3">
      <c r="A32" s="56">
        <v>25</v>
      </c>
      <c r="B32" s="57" t="s">
        <v>219</v>
      </c>
      <c r="C32" s="58" t="s">
        <v>38</v>
      </c>
      <c r="D32" s="57" t="s">
        <v>55</v>
      </c>
      <c r="E32" s="315">
        <v>262500</v>
      </c>
      <c r="F32" s="296" t="s">
        <v>10</v>
      </c>
      <c r="G32" s="228" t="str">
        <f>IF(B32="Repair &amp; Replace",RRCostProjection,VLOOKUP(B32,CIP_Summary,'CIP Summary'!$C$6,FALSE))</f>
        <v>Escalation</v>
      </c>
      <c r="H32" s="228">
        <f t="shared" si="0"/>
        <v>39375</v>
      </c>
      <c r="I32" s="314">
        <f t="shared" si="1"/>
        <v>26250</v>
      </c>
      <c r="J32" s="314">
        <f t="shared" si="7"/>
        <v>328125</v>
      </c>
      <c r="K32" s="316">
        <f>VLOOKUP(B32,CIP_Summary,'CIP Summary'!$G$6,FALSE)</f>
        <v>2034</v>
      </c>
      <c r="L32" s="374">
        <f>IF(B32="repair &amp; replace",VLOOKUP(K32,RR_ENR,2,FALSE),VLOOKUP(B32,CIP_Summary,'CIP Summary'!$H$6,FALSE))</f>
        <v>0</v>
      </c>
      <c r="M32" s="86">
        <f t="shared" si="2"/>
        <v>542340.6293391682</v>
      </c>
      <c r="N32" s="340">
        <f t="shared" si="3"/>
        <v>65080.875520700181</v>
      </c>
      <c r="O32" s="228">
        <f t="shared" si="4"/>
        <v>43387.250347133457</v>
      </c>
      <c r="P32" s="180">
        <f>IF(B32="Repair &amp; Replace",0,VLOOKUP(B32,CIP_Summary,'CIP Summary'!$M$6,FALSE))</f>
        <v>12</v>
      </c>
      <c r="Q32" s="180">
        <f>IF(B32="repair &amp; replace",RR_Construction,VLOOKUP(B32,CIP_Summary,'CIP Summary'!$N$6,FALSE))</f>
        <v>24</v>
      </c>
      <c r="R32" s="180">
        <f>IF(B32="repair &amp; replace",RR_Float,VLOOKUP(B32,CIP_Summary,'CIP Summary'!$O$6,FALSE))</f>
        <v>6</v>
      </c>
      <c r="S32" s="90">
        <f t="shared" si="5"/>
        <v>2030</v>
      </c>
      <c r="T32" s="90">
        <f t="shared" si="6"/>
        <v>2031</v>
      </c>
      <c r="U32" s="126"/>
      <c r="V32" s="126"/>
    </row>
    <row r="33" spans="1:22" ht="28.2" x14ac:dyDescent="0.3">
      <c r="A33" s="56">
        <v>26</v>
      </c>
      <c r="B33" s="58" t="s">
        <v>218</v>
      </c>
      <c r="C33" s="58" t="s">
        <v>38</v>
      </c>
      <c r="D33" s="57" t="s">
        <v>39</v>
      </c>
      <c r="E33" s="315">
        <v>7144</v>
      </c>
      <c r="F33" s="296" t="s">
        <v>10</v>
      </c>
      <c r="G33" s="228" t="str">
        <f>IF(B33="Repair &amp; Replace",RRCostProjection,VLOOKUP(B33,CIP_Summary,'CIP Summary'!$C$6,FALSE))</f>
        <v>Escalation</v>
      </c>
      <c r="H33" s="228">
        <f t="shared" si="0"/>
        <v>1071.5999999999999</v>
      </c>
      <c r="I33" s="314">
        <f t="shared" si="1"/>
        <v>714.40000000000009</v>
      </c>
      <c r="J33" s="314">
        <f t="shared" si="7"/>
        <v>8930</v>
      </c>
      <c r="K33" s="316">
        <f>VLOOKUP(B33,CIP_Summary,'CIP Summary'!$G$6,FALSE)</f>
        <v>2021</v>
      </c>
      <c r="L33" s="374">
        <f>IF(B33="repair &amp; replace",VLOOKUP(K33,RR_ENR,2,FALSE),VLOOKUP(B33,CIP_Summary,'CIP Summary'!$H$6,FALSE))</f>
        <v>0</v>
      </c>
      <c r="M33" s="86">
        <f t="shared" si="2"/>
        <v>10050.793673299999</v>
      </c>
      <c r="N33" s="340">
        <f t="shared" si="3"/>
        <v>1206.0952407959996</v>
      </c>
      <c r="O33" s="228">
        <f t="shared" si="4"/>
        <v>804.06349386399995</v>
      </c>
      <c r="P33" s="180">
        <f>IF(B33="Repair &amp; Replace",0,VLOOKUP(B33,CIP_Summary,'CIP Summary'!$M$6,FALSE))</f>
        <v>12</v>
      </c>
      <c r="Q33" s="180">
        <f>IF(B33="repair &amp; replace",RR_Construction,VLOOKUP(B33,CIP_Summary,'CIP Summary'!$N$6,FALSE))</f>
        <v>18</v>
      </c>
      <c r="R33" s="180">
        <f>IF(B33="repair &amp; replace",RR_Float,VLOOKUP(B33,CIP_Summary,'CIP Summary'!$O$6,FALSE))</f>
        <v>6</v>
      </c>
      <c r="S33" s="90">
        <f t="shared" si="5"/>
        <v>2018</v>
      </c>
      <c r="T33" s="90">
        <f t="shared" si="6"/>
        <v>2019</v>
      </c>
      <c r="U33" s="126"/>
      <c r="V33" s="126"/>
    </row>
    <row r="34" spans="1:22" ht="28.2" x14ac:dyDescent="0.3">
      <c r="A34" s="56">
        <v>27</v>
      </c>
      <c r="B34" s="58" t="s">
        <v>218</v>
      </c>
      <c r="C34" s="58" t="s">
        <v>38</v>
      </c>
      <c r="D34" s="57" t="s">
        <v>40</v>
      </c>
      <c r="E34" s="315">
        <v>10978</v>
      </c>
      <c r="F34" s="296" t="s">
        <v>10</v>
      </c>
      <c r="G34" s="228" t="str">
        <f>IF(B34="Repair &amp; Replace",RRCostProjection,VLOOKUP(B34,CIP_Summary,'CIP Summary'!$C$6,FALSE))</f>
        <v>Escalation</v>
      </c>
      <c r="H34" s="228">
        <f t="shared" si="0"/>
        <v>1646.7</v>
      </c>
      <c r="I34" s="314">
        <f t="shared" si="1"/>
        <v>1097.8</v>
      </c>
      <c r="J34" s="314">
        <f t="shared" si="7"/>
        <v>13722.5</v>
      </c>
      <c r="K34" s="316">
        <f>VLOOKUP(B34,CIP_Summary,'CIP Summary'!$G$6,FALSE)</f>
        <v>2021</v>
      </c>
      <c r="L34" s="374">
        <f>IF(B34="repair &amp; replace",VLOOKUP(K34,RR_ENR,2,FALSE),VLOOKUP(B34,CIP_Summary,'CIP Summary'!$H$6,FALSE))</f>
        <v>0</v>
      </c>
      <c r="M34" s="86">
        <f t="shared" si="2"/>
        <v>15444.794645224998</v>
      </c>
      <c r="N34" s="340">
        <f t="shared" si="3"/>
        <v>1853.3753574269997</v>
      </c>
      <c r="O34" s="228">
        <f t="shared" si="4"/>
        <v>1235.5835716179997</v>
      </c>
      <c r="P34" s="180">
        <f>IF(B34="Repair &amp; Replace",0,VLOOKUP(B34,CIP_Summary,'CIP Summary'!$M$6,FALSE))</f>
        <v>12</v>
      </c>
      <c r="Q34" s="180">
        <f>IF(B34="repair &amp; replace",RR_Construction,VLOOKUP(B34,CIP_Summary,'CIP Summary'!$N$6,FALSE))</f>
        <v>18</v>
      </c>
      <c r="R34" s="180">
        <f>IF(B34="repair &amp; replace",RR_Float,VLOOKUP(B34,CIP_Summary,'CIP Summary'!$O$6,FALSE))</f>
        <v>6</v>
      </c>
      <c r="S34" s="90">
        <f t="shared" si="5"/>
        <v>2018</v>
      </c>
      <c r="T34" s="90">
        <f t="shared" si="6"/>
        <v>2019</v>
      </c>
      <c r="U34" s="126"/>
      <c r="V34" s="126"/>
    </row>
    <row r="35" spans="1:22" ht="28.2" x14ac:dyDescent="0.3">
      <c r="A35" s="56">
        <v>28</v>
      </c>
      <c r="B35" s="57" t="s">
        <v>219</v>
      </c>
      <c r="C35" s="58" t="s">
        <v>38</v>
      </c>
      <c r="D35" s="58" t="s">
        <v>56</v>
      </c>
      <c r="E35" s="315">
        <v>240000</v>
      </c>
      <c r="F35" s="296" t="s">
        <v>10</v>
      </c>
      <c r="G35" s="228" t="str">
        <f>IF(B35="Repair &amp; Replace",RRCostProjection,VLOOKUP(B35,CIP_Summary,'CIP Summary'!$C$6,FALSE))</f>
        <v>Escalation</v>
      </c>
      <c r="H35" s="228">
        <f t="shared" si="0"/>
        <v>36000</v>
      </c>
      <c r="I35" s="314">
        <f t="shared" si="1"/>
        <v>24000</v>
      </c>
      <c r="J35" s="314">
        <f t="shared" si="7"/>
        <v>300000</v>
      </c>
      <c r="K35" s="316">
        <f>VLOOKUP(B35,CIP_Summary,'CIP Summary'!$G$6,FALSE)</f>
        <v>2034</v>
      </c>
      <c r="L35" s="374">
        <f>IF(B35="repair &amp; replace",VLOOKUP(K35,RR_ENR,2,FALSE),VLOOKUP(B35,CIP_Summary,'CIP Summary'!$H$6,FALSE))</f>
        <v>0</v>
      </c>
      <c r="M35" s="86">
        <f t="shared" si="2"/>
        <v>495854.2896815252</v>
      </c>
      <c r="N35" s="340">
        <f t="shared" si="3"/>
        <v>59502.51476178303</v>
      </c>
      <c r="O35" s="228">
        <f t="shared" si="4"/>
        <v>39668.343174522015</v>
      </c>
      <c r="P35" s="180">
        <f>IF(B35="Repair &amp; Replace",0,VLOOKUP(B35,CIP_Summary,'CIP Summary'!$M$6,FALSE))</f>
        <v>12</v>
      </c>
      <c r="Q35" s="180">
        <f>IF(B35="repair &amp; replace",RR_Construction,VLOOKUP(B35,CIP_Summary,'CIP Summary'!$N$6,FALSE))</f>
        <v>24</v>
      </c>
      <c r="R35" s="180">
        <f>IF(B35="repair &amp; replace",RR_Float,VLOOKUP(B35,CIP_Summary,'CIP Summary'!$O$6,FALSE))</f>
        <v>6</v>
      </c>
      <c r="S35" s="90">
        <f t="shared" si="5"/>
        <v>2030</v>
      </c>
      <c r="T35" s="90">
        <f t="shared" si="6"/>
        <v>2031</v>
      </c>
      <c r="U35" s="126"/>
      <c r="V35" s="126"/>
    </row>
    <row r="36" spans="1:22" ht="28.2" x14ac:dyDescent="0.3">
      <c r="A36" s="56">
        <v>29</v>
      </c>
      <c r="B36" s="57" t="s">
        <v>219</v>
      </c>
      <c r="C36" s="58" t="s">
        <v>38</v>
      </c>
      <c r="D36" s="60" t="s">
        <v>57</v>
      </c>
      <c r="E36" s="315">
        <v>1193917</v>
      </c>
      <c r="F36" s="296" t="s">
        <v>10</v>
      </c>
      <c r="G36" s="228" t="str">
        <f>IF(B36="Repair &amp; Replace",RRCostProjection,VLOOKUP(B36,CIP_Summary,'CIP Summary'!$C$6,FALSE))</f>
        <v>Escalation</v>
      </c>
      <c r="H36" s="228">
        <f t="shared" si="0"/>
        <v>179087.55</v>
      </c>
      <c r="I36" s="314">
        <f t="shared" si="1"/>
        <v>119391.70000000001</v>
      </c>
      <c r="J36" s="314">
        <f t="shared" si="7"/>
        <v>1492396.25</v>
      </c>
      <c r="K36" s="316">
        <f>VLOOKUP(B36,CIP_Summary,'CIP Summary'!$G$6,FALSE)</f>
        <v>2034</v>
      </c>
      <c r="L36" s="374">
        <f>IF(B36="repair &amp; replace",VLOOKUP(K36,RR_ENR,2,FALSE),VLOOKUP(B36,CIP_Summary,'CIP Summary'!$H$6,FALSE))</f>
        <v>0</v>
      </c>
      <c r="M36" s="86">
        <f t="shared" si="2"/>
        <v>2466703.6082237395</v>
      </c>
      <c r="N36" s="340">
        <f t="shared" si="3"/>
        <v>296004.43298684875</v>
      </c>
      <c r="O36" s="228">
        <f t="shared" si="4"/>
        <v>197336.28865789916</v>
      </c>
      <c r="P36" s="180">
        <f>IF(B36="Repair &amp; Replace",0,VLOOKUP(B36,CIP_Summary,'CIP Summary'!$M$6,FALSE))</f>
        <v>12</v>
      </c>
      <c r="Q36" s="180">
        <f>IF(B36="repair &amp; replace",RR_Construction,VLOOKUP(B36,CIP_Summary,'CIP Summary'!$N$6,FALSE))</f>
        <v>24</v>
      </c>
      <c r="R36" s="180">
        <f>IF(B36="repair &amp; replace",RR_Float,VLOOKUP(B36,CIP_Summary,'CIP Summary'!$O$6,FALSE))</f>
        <v>6</v>
      </c>
      <c r="S36" s="90">
        <f t="shared" si="5"/>
        <v>2030</v>
      </c>
      <c r="T36" s="90">
        <f t="shared" si="6"/>
        <v>2031</v>
      </c>
      <c r="U36" s="126"/>
      <c r="V36" s="126"/>
    </row>
    <row r="37" spans="1:22" ht="28.2" x14ac:dyDescent="0.3">
      <c r="A37" s="56">
        <v>30</v>
      </c>
      <c r="B37" s="57" t="s">
        <v>219</v>
      </c>
      <c r="C37" s="58" t="s">
        <v>38</v>
      </c>
      <c r="D37" s="57" t="s">
        <v>58</v>
      </c>
      <c r="E37" s="315">
        <v>637883</v>
      </c>
      <c r="F37" s="296" t="s">
        <v>10</v>
      </c>
      <c r="G37" s="228" t="str">
        <f>IF(B37="Repair &amp; Replace",RRCostProjection,VLOOKUP(B37,CIP_Summary,'CIP Summary'!$C$6,FALSE))</f>
        <v>Escalation</v>
      </c>
      <c r="H37" s="228">
        <f t="shared" si="0"/>
        <v>95682.45</v>
      </c>
      <c r="I37" s="314">
        <f t="shared" si="1"/>
        <v>63788.3</v>
      </c>
      <c r="J37" s="314">
        <f t="shared" si="7"/>
        <v>797353.75</v>
      </c>
      <c r="K37" s="316">
        <f>VLOOKUP(B37,CIP_Summary,'CIP Summary'!$G$6,FALSE)</f>
        <v>2034</v>
      </c>
      <c r="L37" s="374">
        <f>IF(B37="repair &amp; replace",VLOOKUP(K37,RR_ENR,2,FALSE),VLOOKUP(B37,CIP_Summary,'CIP Summary'!$H$6,FALSE))</f>
        <v>0</v>
      </c>
      <c r="M37" s="86">
        <f t="shared" si="2"/>
        <v>1317904.2577705015</v>
      </c>
      <c r="N37" s="340">
        <f t="shared" si="3"/>
        <v>158148.51093246017</v>
      </c>
      <c r="O37" s="228">
        <f t="shared" si="4"/>
        <v>105432.34062164013</v>
      </c>
      <c r="P37" s="180">
        <f>IF(B37="Repair &amp; Replace",0,VLOOKUP(B37,CIP_Summary,'CIP Summary'!$M$6,FALSE))</f>
        <v>12</v>
      </c>
      <c r="Q37" s="180">
        <f>IF(B37="repair &amp; replace",RR_Construction,VLOOKUP(B37,CIP_Summary,'CIP Summary'!$N$6,FALSE))</f>
        <v>24</v>
      </c>
      <c r="R37" s="180">
        <f>IF(B37="repair &amp; replace",RR_Float,VLOOKUP(B37,CIP_Summary,'CIP Summary'!$O$6,FALSE))</f>
        <v>6</v>
      </c>
      <c r="S37" s="90">
        <f t="shared" si="5"/>
        <v>2030</v>
      </c>
      <c r="T37" s="90">
        <f t="shared" si="6"/>
        <v>2031</v>
      </c>
      <c r="U37" s="126"/>
      <c r="V37" s="126"/>
    </row>
    <row r="38" spans="1:22" ht="55.8" x14ac:dyDescent="0.3">
      <c r="A38" s="56">
        <v>31</v>
      </c>
      <c r="B38" s="57" t="s">
        <v>219</v>
      </c>
      <c r="C38" s="58" t="s">
        <v>38</v>
      </c>
      <c r="D38" s="57" t="s">
        <v>59</v>
      </c>
      <c r="E38" s="315">
        <v>160350</v>
      </c>
      <c r="F38" s="296" t="s">
        <v>10</v>
      </c>
      <c r="G38" s="228" t="str">
        <f>IF(B38="Repair &amp; Replace",RRCostProjection,VLOOKUP(B38,CIP_Summary,'CIP Summary'!$C$6,FALSE))</f>
        <v>Escalation</v>
      </c>
      <c r="H38" s="228">
        <f t="shared" si="0"/>
        <v>24052.5</v>
      </c>
      <c r="I38" s="314">
        <f t="shared" si="1"/>
        <v>16035</v>
      </c>
      <c r="J38" s="314">
        <f t="shared" si="7"/>
        <v>200437.5</v>
      </c>
      <c r="K38" s="316">
        <f>VLOOKUP(B38,CIP_Summary,'CIP Summary'!$G$6,FALSE)</f>
        <v>2034</v>
      </c>
      <c r="L38" s="374">
        <f>IF(B38="repair &amp; replace",VLOOKUP(K38,RR_ENR,2,FALSE),VLOOKUP(B38,CIP_Summary,'CIP Summary'!$H$6,FALSE))</f>
        <v>0</v>
      </c>
      <c r="M38" s="86">
        <f t="shared" si="2"/>
        <v>331292.64729346905</v>
      </c>
      <c r="N38" s="340">
        <f t="shared" si="3"/>
        <v>39755.117675216286</v>
      </c>
      <c r="O38" s="228">
        <f t="shared" si="4"/>
        <v>26503.411783477528</v>
      </c>
      <c r="P38" s="180">
        <f>IF(B38="Repair &amp; Replace",0,VLOOKUP(B38,CIP_Summary,'CIP Summary'!$M$6,FALSE))</f>
        <v>12</v>
      </c>
      <c r="Q38" s="180">
        <f>IF(B38="repair &amp; replace",RR_Construction,VLOOKUP(B38,CIP_Summary,'CIP Summary'!$N$6,FALSE))</f>
        <v>24</v>
      </c>
      <c r="R38" s="180">
        <f>IF(B38="repair &amp; replace",RR_Float,VLOOKUP(B38,CIP_Summary,'CIP Summary'!$O$6,FALSE))</f>
        <v>6</v>
      </c>
      <c r="S38" s="90">
        <f t="shared" si="5"/>
        <v>2030</v>
      </c>
      <c r="T38" s="90">
        <f t="shared" si="6"/>
        <v>2031</v>
      </c>
      <c r="U38" s="126"/>
      <c r="V38" s="126"/>
    </row>
    <row r="39" spans="1:22" ht="55.8" x14ac:dyDescent="0.3">
      <c r="A39" s="56">
        <v>32</v>
      </c>
      <c r="B39" s="58" t="s">
        <v>71</v>
      </c>
      <c r="C39" s="58" t="s">
        <v>38</v>
      </c>
      <c r="D39" s="57" t="s">
        <v>77</v>
      </c>
      <c r="E39" s="315">
        <v>36926</v>
      </c>
      <c r="F39" s="296" t="s">
        <v>9</v>
      </c>
      <c r="G39" s="228" t="str">
        <f>IF(B39="Repair &amp; Replace",RRCostProjection,VLOOKUP(B39,CIP_Summary,'CIP Summary'!$C$6,FALSE))</f>
        <v>Escalation</v>
      </c>
      <c r="H39" s="228">
        <f t="shared" si="0"/>
        <v>0</v>
      </c>
      <c r="I39" s="314">
        <f t="shared" si="1"/>
        <v>3692.6000000000004</v>
      </c>
      <c r="J39" s="314">
        <f t="shared" si="7"/>
        <v>40618.600000000006</v>
      </c>
      <c r="K39" s="316">
        <f>VLOOKUP(B39,CIP_Summary,'CIP Summary'!$G$6,FALSE)</f>
        <v>2022</v>
      </c>
      <c r="L39" s="374">
        <f>IF(B39="repair &amp; replace",VLOOKUP(K39,RR_ENR,2,FALSE),VLOOKUP(B39,CIP_Summary,'CIP Summary'!$H$6,FALSE))</f>
        <v>0</v>
      </c>
      <c r="M39" s="86">
        <f t="shared" si="2"/>
        <v>47088.089914361983</v>
      </c>
      <c r="N39" s="340">
        <f t="shared" si="3"/>
        <v>0</v>
      </c>
      <c r="O39" s="228">
        <f t="shared" si="4"/>
        <v>4280.7354467601799</v>
      </c>
      <c r="P39" s="180">
        <f>IF(B39="Repair &amp; Replace",0,VLOOKUP(B39,CIP_Summary,'CIP Summary'!$M$6,FALSE))</f>
        <v>6</v>
      </c>
      <c r="Q39" s="180">
        <f>IF(B39="repair &amp; replace",RR_Construction,VLOOKUP(B39,CIP_Summary,'CIP Summary'!$N$6,FALSE))</f>
        <v>6</v>
      </c>
      <c r="R39" s="180">
        <f>IF(B39="repair &amp; replace",RR_Float,VLOOKUP(B39,CIP_Summary,'CIP Summary'!$O$6,FALSE))</f>
        <v>3</v>
      </c>
      <c r="S39" s="90">
        <f t="shared" si="5"/>
        <v>2020</v>
      </c>
      <c r="T39" s="90">
        <f t="shared" si="6"/>
        <v>2021</v>
      </c>
      <c r="U39" s="285"/>
      <c r="V39" s="285"/>
    </row>
    <row r="40" spans="1:22" ht="28.2" x14ac:dyDescent="0.3">
      <c r="A40" s="56">
        <v>33</v>
      </c>
      <c r="B40" s="58" t="s">
        <v>71</v>
      </c>
      <c r="C40" s="58" t="s">
        <v>38</v>
      </c>
      <c r="D40" s="57" t="s">
        <v>78</v>
      </c>
      <c r="E40" s="315">
        <v>9205</v>
      </c>
      <c r="F40" s="296" t="s">
        <v>9</v>
      </c>
      <c r="G40" s="228" t="str">
        <f>IF(B40="Repair &amp; Replace",RRCostProjection,VLOOKUP(B40,CIP_Summary,'CIP Summary'!$C$6,FALSE))</f>
        <v>Escalation</v>
      </c>
      <c r="H40" s="228">
        <f t="shared" ref="H40:H71" si="8">IF(F40="Yes",E40*(Design),0)</f>
        <v>0</v>
      </c>
      <c r="I40" s="314">
        <f t="shared" ref="I40:I71" si="9">E40*(Admin)</f>
        <v>920.5</v>
      </c>
      <c r="J40" s="314">
        <f t="shared" ref="J40:J71" si="10">E40*IF(F40="yes",(1+Design+Admin),IF(F40="No",(1+Admin),"Check"))</f>
        <v>10125.5</v>
      </c>
      <c r="K40" s="316">
        <f>VLOOKUP(B40,CIP_Summary,'CIP Summary'!$G$6,FALSE)</f>
        <v>2022</v>
      </c>
      <c r="L40" s="374">
        <f>IF(B40="repair &amp; replace",VLOOKUP(K40,RR_ENR,2,FALSE),VLOOKUP(B40,CIP_Summary,'CIP Summary'!$H$6,FALSE))</f>
        <v>0</v>
      </c>
      <c r="M40" s="86">
        <f t="shared" ref="M40:M71" si="11">IF(G40="Escalation",J40*(Escalation_Rate)^(K40-YEAR(estimate_date)),IF(G40="Revised Estimate",((ENR_Revised/ENR)*J40)*Escalation_Rate^(K40-YEAR(Revised_Estimate_Date)),IF(AND(G40="ENR",L40&gt;0),J40*L40/ENR,"Need ENR @ Project Year")))</f>
        <v>11738.229639324649</v>
      </c>
      <c r="N40" s="340">
        <f t="shared" ref="N40:N71" si="12">IF(M40="Need ENR @ Project Year",M40,H40*M40/J40)</f>
        <v>0</v>
      </c>
      <c r="O40" s="228">
        <f t="shared" ref="O40:O71" si="13">IF(M40="Need ENR @ Project Year",M40,I40*M40/J40)</f>
        <v>1067.1117853931501</v>
      </c>
      <c r="P40" s="180">
        <f>IF(B40="Repair &amp; Replace",0,VLOOKUP(B40,CIP_Summary,'CIP Summary'!$M$6,FALSE))</f>
        <v>6</v>
      </c>
      <c r="Q40" s="180">
        <f>IF(B40="repair &amp; replace",RR_Construction,VLOOKUP(B40,CIP_Summary,'CIP Summary'!$N$6,FALSE))</f>
        <v>6</v>
      </c>
      <c r="R40" s="180">
        <f>IF(B40="repair &amp; replace",RR_Float,VLOOKUP(B40,CIP_Summary,'CIP Summary'!$O$6,FALSE))</f>
        <v>3</v>
      </c>
      <c r="S40" s="90">
        <f t="shared" ref="S40:S71" si="14">ROUNDDOWN(K40-SUM(P40:R40)/12,0)</f>
        <v>2020</v>
      </c>
      <c r="T40" s="90">
        <f t="shared" ref="T40:T71" si="15">ROUNDDOWN(K40-SUM(Q40:R40)/12,0)</f>
        <v>2021</v>
      </c>
      <c r="U40" s="126"/>
      <c r="V40" s="126"/>
    </row>
    <row r="41" spans="1:22" ht="42" x14ac:dyDescent="0.3">
      <c r="A41" s="56">
        <v>34</v>
      </c>
      <c r="B41" s="58" t="s">
        <v>71</v>
      </c>
      <c r="C41" s="58" t="s">
        <v>38</v>
      </c>
      <c r="D41" s="57" t="s">
        <v>79</v>
      </c>
      <c r="E41" s="315">
        <v>10517</v>
      </c>
      <c r="F41" s="296" t="s">
        <v>9</v>
      </c>
      <c r="G41" s="228" t="str">
        <f>IF(B41="Repair &amp; Replace",RRCostProjection,VLOOKUP(B41,CIP_Summary,'CIP Summary'!$C$6,FALSE))</f>
        <v>Escalation</v>
      </c>
      <c r="H41" s="228">
        <f t="shared" si="8"/>
        <v>0</v>
      </c>
      <c r="I41" s="314">
        <f t="shared" si="9"/>
        <v>1051.7</v>
      </c>
      <c r="J41" s="314">
        <f t="shared" si="10"/>
        <v>11568.7</v>
      </c>
      <c r="K41" s="316">
        <f>VLOOKUP(B41,CIP_Summary,'CIP Summary'!$G$6,FALSE)</f>
        <v>2022</v>
      </c>
      <c r="L41" s="374">
        <f>IF(B41="repair &amp; replace",VLOOKUP(K41,RR_ENR,2,FALSE),VLOOKUP(B41,CIP_Summary,'CIP Summary'!$H$6,FALSE))</f>
        <v>0</v>
      </c>
      <c r="M41" s="86">
        <f t="shared" si="11"/>
        <v>13411.29398335441</v>
      </c>
      <c r="N41" s="340">
        <f t="shared" si="12"/>
        <v>0</v>
      </c>
      <c r="O41" s="228">
        <f t="shared" si="13"/>
        <v>1219.2085439413099</v>
      </c>
      <c r="P41" s="180">
        <f>IF(B41="Repair &amp; Replace",0,VLOOKUP(B41,CIP_Summary,'CIP Summary'!$M$6,FALSE))</f>
        <v>6</v>
      </c>
      <c r="Q41" s="180">
        <f>IF(B41="repair &amp; replace",RR_Construction,VLOOKUP(B41,CIP_Summary,'CIP Summary'!$N$6,FALSE))</f>
        <v>6</v>
      </c>
      <c r="R41" s="180">
        <f>IF(B41="repair &amp; replace",RR_Float,VLOOKUP(B41,CIP_Summary,'CIP Summary'!$O$6,FALSE))</f>
        <v>3</v>
      </c>
      <c r="S41" s="90">
        <f t="shared" si="14"/>
        <v>2020</v>
      </c>
      <c r="T41" s="90">
        <f t="shared" si="15"/>
        <v>2021</v>
      </c>
      <c r="U41" s="126"/>
      <c r="V41" s="126"/>
    </row>
    <row r="42" spans="1:22" ht="28.2" x14ac:dyDescent="0.3">
      <c r="A42" s="56">
        <v>35</v>
      </c>
      <c r="B42" s="58" t="s">
        <v>71</v>
      </c>
      <c r="C42" s="58" t="s">
        <v>38</v>
      </c>
      <c r="D42" s="57" t="s">
        <v>80</v>
      </c>
      <c r="E42" s="315">
        <v>5067</v>
      </c>
      <c r="F42" s="296" t="s">
        <v>9</v>
      </c>
      <c r="G42" s="228" t="str">
        <f>IF(B42="Repair &amp; Replace",RRCostProjection,VLOOKUP(B42,CIP_Summary,'CIP Summary'!$C$6,FALSE))</f>
        <v>Escalation</v>
      </c>
      <c r="H42" s="228">
        <f t="shared" si="8"/>
        <v>0</v>
      </c>
      <c r="I42" s="314">
        <f t="shared" si="9"/>
        <v>506.70000000000005</v>
      </c>
      <c r="J42" s="314">
        <f t="shared" si="10"/>
        <v>5573.7000000000007</v>
      </c>
      <c r="K42" s="316">
        <f>VLOOKUP(B42,CIP_Summary,'CIP Summary'!$G$6,FALSE)</f>
        <v>2022</v>
      </c>
      <c r="L42" s="374">
        <f>IF(B42="repair &amp; replace",VLOOKUP(K42,RR_ENR,2,FALSE),VLOOKUP(B42,CIP_Summary,'CIP Summary'!$H$6,FALSE))</f>
        <v>0</v>
      </c>
      <c r="M42" s="86">
        <f t="shared" si="11"/>
        <v>6461.4459079259104</v>
      </c>
      <c r="N42" s="340">
        <f t="shared" si="12"/>
        <v>0</v>
      </c>
      <c r="O42" s="228">
        <f t="shared" si="13"/>
        <v>587.40417344780997</v>
      </c>
      <c r="P42" s="180">
        <f>IF(B42="Repair &amp; Replace",0,VLOOKUP(B42,CIP_Summary,'CIP Summary'!$M$6,FALSE))</f>
        <v>6</v>
      </c>
      <c r="Q42" s="180">
        <f>IF(B42="repair &amp; replace",RR_Construction,VLOOKUP(B42,CIP_Summary,'CIP Summary'!$N$6,FALSE))</f>
        <v>6</v>
      </c>
      <c r="R42" s="180">
        <f>IF(B42="repair &amp; replace",RR_Float,VLOOKUP(B42,CIP_Summary,'CIP Summary'!$O$6,FALSE))</f>
        <v>3</v>
      </c>
      <c r="S42" s="90">
        <f t="shared" si="14"/>
        <v>2020</v>
      </c>
      <c r="T42" s="90">
        <f t="shared" si="15"/>
        <v>2021</v>
      </c>
      <c r="U42" s="126"/>
      <c r="V42" s="126"/>
    </row>
    <row r="43" spans="1:22" ht="42" x14ac:dyDescent="0.3">
      <c r="A43" s="56">
        <v>36</v>
      </c>
      <c r="B43" s="58" t="s">
        <v>71</v>
      </c>
      <c r="C43" s="58" t="s">
        <v>38</v>
      </c>
      <c r="D43" s="57" t="s">
        <v>81</v>
      </c>
      <c r="E43" s="315">
        <v>11985</v>
      </c>
      <c r="F43" s="296" t="s">
        <v>9</v>
      </c>
      <c r="G43" s="228" t="str">
        <f>IF(B43="Repair &amp; Replace",RRCostProjection,VLOOKUP(B43,CIP_Summary,'CIP Summary'!$C$6,FALSE))</f>
        <v>Escalation</v>
      </c>
      <c r="H43" s="228">
        <f t="shared" si="8"/>
        <v>0</v>
      </c>
      <c r="I43" s="314">
        <f t="shared" si="9"/>
        <v>1198.5</v>
      </c>
      <c r="J43" s="314">
        <f t="shared" si="10"/>
        <v>13183.500000000002</v>
      </c>
      <c r="K43" s="316">
        <f>VLOOKUP(B43,CIP_Summary,'CIP Summary'!$G$6,FALSE)</f>
        <v>2022</v>
      </c>
      <c r="L43" s="374">
        <f>IF(B43="repair &amp; replace",VLOOKUP(K43,RR_ENR,2,FALSE),VLOOKUP(B43,CIP_Summary,'CIP Summary'!$H$6,FALSE))</f>
        <v>0</v>
      </c>
      <c r="M43" s="86">
        <f t="shared" si="11"/>
        <v>15283.289758534051</v>
      </c>
      <c r="N43" s="340">
        <f t="shared" si="12"/>
        <v>0</v>
      </c>
      <c r="O43" s="228">
        <f t="shared" si="13"/>
        <v>1389.3899780485499</v>
      </c>
      <c r="P43" s="180">
        <f>IF(B43="Repair &amp; Replace",0,VLOOKUP(B43,CIP_Summary,'CIP Summary'!$M$6,FALSE))</f>
        <v>6</v>
      </c>
      <c r="Q43" s="180">
        <f>IF(B43="repair &amp; replace",RR_Construction,VLOOKUP(B43,CIP_Summary,'CIP Summary'!$N$6,FALSE))</f>
        <v>6</v>
      </c>
      <c r="R43" s="180">
        <f>IF(B43="repair &amp; replace",RR_Float,VLOOKUP(B43,CIP_Summary,'CIP Summary'!$O$6,FALSE))</f>
        <v>3</v>
      </c>
      <c r="S43" s="90">
        <f t="shared" si="14"/>
        <v>2020</v>
      </c>
      <c r="T43" s="90">
        <f t="shared" si="15"/>
        <v>2021</v>
      </c>
      <c r="U43" s="285"/>
      <c r="V43" s="285"/>
    </row>
    <row r="44" spans="1:22" ht="28.2" x14ac:dyDescent="0.3">
      <c r="A44" s="56">
        <v>37</v>
      </c>
      <c r="B44" s="58" t="s">
        <v>71</v>
      </c>
      <c r="C44" s="58" t="s">
        <v>38</v>
      </c>
      <c r="D44" s="57" t="s">
        <v>82</v>
      </c>
      <c r="E44" s="315">
        <v>11664</v>
      </c>
      <c r="F44" s="296" t="s">
        <v>9</v>
      </c>
      <c r="G44" s="228" t="str">
        <f>IF(B44="Repair &amp; Replace",RRCostProjection,VLOOKUP(B44,CIP_Summary,'CIP Summary'!$C$6,FALSE))</f>
        <v>Escalation</v>
      </c>
      <c r="H44" s="228">
        <f t="shared" si="8"/>
        <v>0</v>
      </c>
      <c r="I44" s="314">
        <f t="shared" si="9"/>
        <v>1166.4000000000001</v>
      </c>
      <c r="J44" s="314">
        <f t="shared" si="10"/>
        <v>12830.400000000001</v>
      </c>
      <c r="K44" s="316">
        <f>VLOOKUP(B44,CIP_Summary,'CIP Summary'!$G$6,FALSE)</f>
        <v>2022</v>
      </c>
      <c r="L44" s="374">
        <f>IF(B44="repair &amp; replace",VLOOKUP(K44,RR_ENR,2,FALSE),VLOOKUP(B44,CIP_Summary,'CIP Summary'!$H$6,FALSE))</f>
        <v>0</v>
      </c>
      <c r="M44" s="86">
        <f t="shared" si="11"/>
        <v>14873.95008289872</v>
      </c>
      <c r="N44" s="340">
        <f t="shared" si="12"/>
        <v>0</v>
      </c>
      <c r="O44" s="228">
        <f t="shared" si="13"/>
        <v>1352.1772802635201</v>
      </c>
      <c r="P44" s="180">
        <f>IF(B44="Repair &amp; Replace",0,VLOOKUP(B44,CIP_Summary,'CIP Summary'!$M$6,FALSE))</f>
        <v>6</v>
      </c>
      <c r="Q44" s="180">
        <f>IF(B44="repair &amp; replace",RR_Construction,VLOOKUP(B44,CIP_Summary,'CIP Summary'!$N$6,FALSE))</f>
        <v>6</v>
      </c>
      <c r="R44" s="180">
        <f>IF(B44="repair &amp; replace",RR_Float,VLOOKUP(B44,CIP_Summary,'CIP Summary'!$O$6,FALSE))</f>
        <v>3</v>
      </c>
      <c r="S44" s="90">
        <f t="shared" si="14"/>
        <v>2020</v>
      </c>
      <c r="T44" s="90">
        <f t="shared" si="15"/>
        <v>2021</v>
      </c>
      <c r="U44" s="285"/>
      <c r="V44" s="285"/>
    </row>
    <row r="45" spans="1:22" ht="28.2" x14ac:dyDescent="0.3">
      <c r="A45" s="56">
        <v>38</v>
      </c>
      <c r="B45" s="58" t="s">
        <v>96</v>
      </c>
      <c r="C45" s="58" t="s">
        <v>38</v>
      </c>
      <c r="D45" s="57" t="s">
        <v>107</v>
      </c>
      <c r="E45" s="315">
        <v>22060</v>
      </c>
      <c r="F45" s="296" t="s">
        <v>9</v>
      </c>
      <c r="G45" s="228" t="str">
        <f>IF(B45="Repair &amp; Replace",RRCostProjection,VLOOKUP(B45,CIP_Summary,'CIP Summary'!$C$6,FALSE))</f>
        <v>Escalation</v>
      </c>
      <c r="H45" s="228">
        <f t="shared" si="8"/>
        <v>0</v>
      </c>
      <c r="I45" s="314">
        <f t="shared" si="9"/>
        <v>2206</v>
      </c>
      <c r="J45" s="314">
        <f t="shared" si="10"/>
        <v>24266.000000000004</v>
      </c>
      <c r="K45" s="90">
        <v>2022</v>
      </c>
      <c r="L45" s="374">
        <f>IF(B45="repair &amp; replace",VLOOKUP(K45,RR_ENR,2,FALSE),VLOOKUP(B45,CIP_Summary,'CIP Summary'!$H$6,FALSE))</f>
        <v>0</v>
      </c>
      <c r="M45" s="86">
        <f t="shared" si="11"/>
        <v>28130.944686963801</v>
      </c>
      <c r="N45" s="340">
        <f t="shared" si="12"/>
        <v>0</v>
      </c>
      <c r="O45" s="228">
        <f t="shared" si="13"/>
        <v>2557.3586079058</v>
      </c>
      <c r="P45" s="180">
        <f>IF(B45="Repair &amp; Replace",0,VLOOKUP(B45,CIP_Summary,'CIP Summary'!$M$6,FALSE))</f>
        <v>0</v>
      </c>
      <c r="Q45" s="180">
        <f>IF(B45="repair &amp; replace",RR_Construction,VLOOKUP(B45,CIP_Summary,'CIP Summary'!$N$6,FALSE))</f>
        <v>6</v>
      </c>
      <c r="R45" s="180">
        <f>IF(B45="repair &amp; replace",RR_Float,VLOOKUP(B45,CIP_Summary,'CIP Summary'!$O$6,FALSE))</f>
        <v>6</v>
      </c>
      <c r="S45" s="90">
        <f t="shared" si="14"/>
        <v>2021</v>
      </c>
      <c r="T45" s="90">
        <f t="shared" si="15"/>
        <v>2021</v>
      </c>
      <c r="U45" s="285"/>
      <c r="V45" s="285"/>
    </row>
    <row r="46" spans="1:22" ht="28.2" x14ac:dyDescent="0.3">
      <c r="A46" s="56">
        <v>40</v>
      </c>
      <c r="B46" s="57" t="s">
        <v>96</v>
      </c>
      <c r="C46" s="58" t="s">
        <v>38</v>
      </c>
      <c r="D46" s="57" t="s">
        <v>108</v>
      </c>
      <c r="E46" s="317">
        <v>1752000</v>
      </c>
      <c r="F46" s="296" t="s">
        <v>9</v>
      </c>
      <c r="G46" s="228" t="str">
        <f>IF(B46="Repair &amp; Replace",RRCostProjection,VLOOKUP(B46,CIP_Summary,'CIP Summary'!$C$6,FALSE))</f>
        <v>Escalation</v>
      </c>
      <c r="H46" s="228">
        <f t="shared" si="8"/>
        <v>0</v>
      </c>
      <c r="I46" s="314">
        <f t="shared" si="9"/>
        <v>175200</v>
      </c>
      <c r="J46" s="314">
        <f t="shared" si="10"/>
        <v>1927200.0000000002</v>
      </c>
      <c r="K46" s="325">
        <v>2022</v>
      </c>
      <c r="L46" s="374">
        <f>IF(B46="repair &amp; replace",VLOOKUP(K46,RR_ENR,2,FALSE),VLOOKUP(B46,CIP_Summary,'CIP Summary'!$H$6,FALSE))</f>
        <v>0</v>
      </c>
      <c r="M46" s="86">
        <f t="shared" si="11"/>
        <v>2234152.9959909599</v>
      </c>
      <c r="N46" s="340">
        <f t="shared" si="12"/>
        <v>0</v>
      </c>
      <c r="O46" s="228">
        <f t="shared" si="13"/>
        <v>203104.81781735996</v>
      </c>
      <c r="P46" s="180">
        <f>IF(B46="Repair &amp; Replace",0,VLOOKUP(B46,CIP_Summary,'CIP Summary'!$M$6,FALSE))</f>
        <v>0</v>
      </c>
      <c r="Q46" s="180">
        <f>IF(B46="repair &amp; replace",RR_Construction,VLOOKUP(B46,CIP_Summary,'CIP Summary'!$N$6,FALSE))</f>
        <v>6</v>
      </c>
      <c r="R46" s="180">
        <f>IF(B46="repair &amp; replace",RR_Float,VLOOKUP(B46,CIP_Summary,'CIP Summary'!$O$6,FALSE))</f>
        <v>6</v>
      </c>
      <c r="S46" s="90">
        <f t="shared" si="14"/>
        <v>2021</v>
      </c>
      <c r="T46" s="90">
        <f t="shared" si="15"/>
        <v>2021</v>
      </c>
      <c r="U46" s="285"/>
      <c r="V46" s="285"/>
    </row>
    <row r="47" spans="1:22" ht="28.2" x14ac:dyDescent="0.3">
      <c r="A47" s="56">
        <v>41</v>
      </c>
      <c r="B47" s="58" t="s">
        <v>218</v>
      </c>
      <c r="C47" s="58" t="s">
        <v>38</v>
      </c>
      <c r="D47" s="57" t="s">
        <v>109</v>
      </c>
      <c r="E47" s="317">
        <v>52500</v>
      </c>
      <c r="F47" s="296" t="s">
        <v>10</v>
      </c>
      <c r="G47" s="228" t="str">
        <f>IF(B47="Repair &amp; Replace",RRCostProjection,VLOOKUP(B47,CIP_Summary,'CIP Summary'!$C$6,FALSE))</f>
        <v>Escalation</v>
      </c>
      <c r="H47" s="228">
        <f t="shared" si="8"/>
        <v>7875</v>
      </c>
      <c r="I47" s="314">
        <f t="shared" si="9"/>
        <v>5250</v>
      </c>
      <c r="J47" s="314">
        <f t="shared" si="10"/>
        <v>65625</v>
      </c>
      <c r="K47" s="316">
        <f>VLOOKUP(B47,CIP_Summary,'CIP Summary'!$G$6,FALSE)</f>
        <v>2021</v>
      </c>
      <c r="L47" s="374">
        <f>IF(B47="repair &amp; replace",VLOOKUP(K47,RR_ENR,2,FALSE),VLOOKUP(B47,CIP_Summary,'CIP Summary'!$H$6,FALSE))</f>
        <v>0</v>
      </c>
      <c r="M47" s="86">
        <f t="shared" si="11"/>
        <v>73861.515656249991</v>
      </c>
      <c r="N47" s="340">
        <f t="shared" si="12"/>
        <v>8863.3818787499986</v>
      </c>
      <c r="O47" s="228">
        <f t="shared" si="13"/>
        <v>5908.9212524999994</v>
      </c>
      <c r="P47" s="180">
        <f>IF(B47="Repair &amp; Replace",0,VLOOKUP(B47,CIP_Summary,'CIP Summary'!$M$6,FALSE))</f>
        <v>12</v>
      </c>
      <c r="Q47" s="180">
        <f>IF(B47="repair &amp; replace",RR_Construction,VLOOKUP(B47,CIP_Summary,'CIP Summary'!$N$6,FALSE))</f>
        <v>18</v>
      </c>
      <c r="R47" s="180">
        <f>IF(B47="repair &amp; replace",RR_Float,VLOOKUP(B47,CIP_Summary,'CIP Summary'!$O$6,FALSE))</f>
        <v>6</v>
      </c>
      <c r="S47" s="90">
        <f t="shared" si="14"/>
        <v>2018</v>
      </c>
      <c r="T47" s="90">
        <f t="shared" si="15"/>
        <v>2019</v>
      </c>
      <c r="U47" s="126"/>
      <c r="V47" s="126"/>
    </row>
    <row r="48" spans="1:22" ht="28.2" x14ac:dyDescent="0.3">
      <c r="A48" s="56">
        <v>42</v>
      </c>
      <c r="B48" s="58" t="s">
        <v>96</v>
      </c>
      <c r="C48" s="58" t="s">
        <v>38</v>
      </c>
      <c r="D48" s="58" t="s">
        <v>110</v>
      </c>
      <c r="E48" s="317">
        <v>52500</v>
      </c>
      <c r="F48" s="296" t="s">
        <v>9</v>
      </c>
      <c r="G48" s="228" t="str">
        <f>IF(B48="Repair &amp; Replace",RRCostProjection,VLOOKUP(B48,CIP_Summary,'CIP Summary'!$C$6,FALSE))</f>
        <v>Escalation</v>
      </c>
      <c r="H48" s="228">
        <f t="shared" si="8"/>
        <v>0</v>
      </c>
      <c r="I48" s="314">
        <f t="shared" si="9"/>
        <v>5250</v>
      </c>
      <c r="J48" s="314">
        <f t="shared" si="10"/>
        <v>57750.000000000007</v>
      </c>
      <c r="K48" s="316">
        <v>2022</v>
      </c>
      <c r="L48" s="374">
        <f>IF(B48="repair &amp; replace",VLOOKUP(K48,RR_ENR,2,FALSE),VLOOKUP(B48,CIP_Summary,'CIP Summary'!$H$6,FALSE))</f>
        <v>0</v>
      </c>
      <c r="M48" s="86">
        <f t="shared" si="11"/>
        <v>66948.077790825002</v>
      </c>
      <c r="N48" s="340">
        <f t="shared" si="12"/>
        <v>0</v>
      </c>
      <c r="O48" s="228">
        <f t="shared" si="13"/>
        <v>6086.188890075</v>
      </c>
      <c r="P48" s="180">
        <f>IF(B48="Repair &amp; Replace",0,VLOOKUP(B48,CIP_Summary,'CIP Summary'!$M$6,FALSE))</f>
        <v>0</v>
      </c>
      <c r="Q48" s="180">
        <f>IF(B48="repair &amp; replace",RR_Construction,VLOOKUP(B48,CIP_Summary,'CIP Summary'!$N$6,FALSE))</f>
        <v>6</v>
      </c>
      <c r="R48" s="180">
        <f>IF(B48="repair &amp; replace",RR_Float,VLOOKUP(B48,CIP_Summary,'CIP Summary'!$O$6,FALSE))</f>
        <v>6</v>
      </c>
      <c r="S48" s="90">
        <f t="shared" si="14"/>
        <v>2021</v>
      </c>
      <c r="T48" s="90">
        <f t="shared" si="15"/>
        <v>2021</v>
      </c>
      <c r="U48" s="126"/>
      <c r="V48" s="126"/>
    </row>
    <row r="49" spans="1:22" ht="28.2" x14ac:dyDescent="0.3">
      <c r="A49" s="56">
        <v>43</v>
      </c>
      <c r="B49" s="58" t="s">
        <v>96</v>
      </c>
      <c r="C49" s="58" t="s">
        <v>38</v>
      </c>
      <c r="D49" s="58" t="s">
        <v>111</v>
      </c>
      <c r="E49" s="317">
        <v>52500</v>
      </c>
      <c r="F49" s="296" t="s">
        <v>9</v>
      </c>
      <c r="G49" s="228" t="str">
        <f>IF(B49="Repair &amp; Replace",RRCostProjection,VLOOKUP(B49,CIP_Summary,'CIP Summary'!$C$6,FALSE))</f>
        <v>Escalation</v>
      </c>
      <c r="H49" s="228">
        <f t="shared" si="8"/>
        <v>0</v>
      </c>
      <c r="I49" s="314">
        <f t="shared" si="9"/>
        <v>5250</v>
      </c>
      <c r="J49" s="314">
        <f t="shared" si="10"/>
        <v>57750.000000000007</v>
      </c>
      <c r="K49" s="316">
        <v>2022</v>
      </c>
      <c r="L49" s="374">
        <f>IF(B49="repair &amp; replace",VLOOKUP(K49,RR_ENR,2,FALSE),VLOOKUP(B49,CIP_Summary,'CIP Summary'!$H$6,FALSE))</f>
        <v>0</v>
      </c>
      <c r="M49" s="86">
        <f t="shared" si="11"/>
        <v>66948.077790825002</v>
      </c>
      <c r="N49" s="340">
        <f t="shared" si="12"/>
        <v>0</v>
      </c>
      <c r="O49" s="228">
        <f t="shared" si="13"/>
        <v>6086.188890075</v>
      </c>
      <c r="P49" s="180">
        <f>IF(B49="Repair &amp; Replace",0,VLOOKUP(B49,CIP_Summary,'CIP Summary'!$M$6,FALSE))</f>
        <v>0</v>
      </c>
      <c r="Q49" s="180">
        <f>IF(B49="repair &amp; replace",RR_Construction,VLOOKUP(B49,CIP_Summary,'CIP Summary'!$N$6,FALSE))</f>
        <v>6</v>
      </c>
      <c r="R49" s="180">
        <f>IF(B49="repair &amp; replace",RR_Float,VLOOKUP(B49,CIP_Summary,'CIP Summary'!$O$6,FALSE))</f>
        <v>6</v>
      </c>
      <c r="S49" s="90">
        <f t="shared" si="14"/>
        <v>2021</v>
      </c>
      <c r="T49" s="90">
        <f t="shared" si="15"/>
        <v>2021</v>
      </c>
      <c r="U49" s="126"/>
      <c r="V49" s="126"/>
    </row>
    <row r="50" spans="1:22" ht="28.2" x14ac:dyDescent="0.3">
      <c r="A50" s="56">
        <v>44</v>
      </c>
      <c r="B50" s="57" t="s">
        <v>96</v>
      </c>
      <c r="C50" s="58" t="s">
        <v>38</v>
      </c>
      <c r="D50" s="58" t="s">
        <v>112</v>
      </c>
      <c r="E50" s="317">
        <v>112500</v>
      </c>
      <c r="F50" s="296" t="s">
        <v>9</v>
      </c>
      <c r="G50" s="228" t="str">
        <f>IF(B50="Repair &amp; Replace",RRCostProjection,VLOOKUP(B50,CIP_Summary,'CIP Summary'!$C$6,FALSE))</f>
        <v>Escalation</v>
      </c>
      <c r="H50" s="228">
        <f t="shared" si="8"/>
        <v>0</v>
      </c>
      <c r="I50" s="314">
        <f t="shared" si="9"/>
        <v>11250</v>
      </c>
      <c r="J50" s="314">
        <f t="shared" si="10"/>
        <v>123750.00000000001</v>
      </c>
      <c r="K50" s="325">
        <v>2036</v>
      </c>
      <c r="L50" s="374">
        <f>IF(B50="repair &amp; replace",VLOOKUP(K50,RR_ENR,2,FALSE),VLOOKUP(B50,CIP_Summary,'CIP Summary'!$H$6,FALSE))</f>
        <v>0</v>
      </c>
      <c r="M50" s="86">
        <f t="shared" si="11"/>
        <v>216996.37406829119</v>
      </c>
      <c r="N50" s="340">
        <f t="shared" si="12"/>
        <v>0</v>
      </c>
      <c r="O50" s="228">
        <f t="shared" si="13"/>
        <v>19726.943097117379</v>
      </c>
      <c r="P50" s="180">
        <f>IF(B50="Repair &amp; Replace",0,VLOOKUP(B50,CIP_Summary,'CIP Summary'!$M$6,FALSE))</f>
        <v>0</v>
      </c>
      <c r="Q50" s="180">
        <f>IF(B50="repair &amp; replace",RR_Construction,VLOOKUP(B50,CIP_Summary,'CIP Summary'!$N$6,FALSE))</f>
        <v>6</v>
      </c>
      <c r="R50" s="180">
        <f>IF(B50="repair &amp; replace",RR_Float,VLOOKUP(B50,CIP_Summary,'CIP Summary'!$O$6,FALSE))</f>
        <v>6</v>
      </c>
      <c r="S50" s="90">
        <f t="shared" si="14"/>
        <v>2035</v>
      </c>
      <c r="T50" s="90">
        <f t="shared" si="15"/>
        <v>2035</v>
      </c>
      <c r="U50" s="126"/>
      <c r="V50" s="126"/>
    </row>
    <row r="51" spans="1:22" x14ac:dyDescent="0.3">
      <c r="A51" s="56">
        <v>46</v>
      </c>
      <c r="B51" s="58" t="s">
        <v>218</v>
      </c>
      <c r="C51" s="57" t="s">
        <v>41</v>
      </c>
      <c r="D51" s="57" t="s">
        <v>42</v>
      </c>
      <c r="E51" s="315">
        <v>4147606</v>
      </c>
      <c r="F51" s="296" t="s">
        <v>10</v>
      </c>
      <c r="G51" s="228" t="str">
        <f>IF(B51="Repair &amp; Replace",RRCostProjection,VLOOKUP(B51,CIP_Summary,'CIP Summary'!$C$6,FALSE))</f>
        <v>Escalation</v>
      </c>
      <c r="H51" s="228">
        <f t="shared" si="8"/>
        <v>622140.9</v>
      </c>
      <c r="I51" s="314">
        <f t="shared" si="9"/>
        <v>414760.60000000003</v>
      </c>
      <c r="J51" s="314">
        <f t="shared" si="10"/>
        <v>5184507.5</v>
      </c>
      <c r="K51" s="316">
        <f>VLOOKUP(B51,CIP_Summary,'CIP Summary'!$G$6,FALSE)</f>
        <v>2021</v>
      </c>
      <c r="L51" s="374">
        <f>IF(B51="repair &amp; replace",VLOOKUP(K51,RR_ENR,2,FALSE),VLOOKUP(B51,CIP_Summary,'CIP Summary'!$H$6,FALSE))</f>
        <v>0</v>
      </c>
      <c r="M51" s="86">
        <f t="shared" si="11"/>
        <v>5835208.8667610744</v>
      </c>
      <c r="N51" s="340">
        <f t="shared" si="12"/>
        <v>700225.06401132897</v>
      </c>
      <c r="O51" s="228">
        <f t="shared" si="13"/>
        <v>466816.70934088598</v>
      </c>
      <c r="P51" s="180">
        <f>IF(B51="Repair &amp; Replace",0,VLOOKUP(B51,CIP_Summary,'CIP Summary'!$M$6,FALSE))</f>
        <v>12</v>
      </c>
      <c r="Q51" s="180">
        <f>IF(B51="repair &amp; replace",RR_Construction,VLOOKUP(B51,CIP_Summary,'CIP Summary'!$N$6,FALSE))</f>
        <v>18</v>
      </c>
      <c r="R51" s="180">
        <f>IF(B51="repair &amp; replace",RR_Float,VLOOKUP(B51,CIP_Summary,'CIP Summary'!$O$6,FALSE))</f>
        <v>6</v>
      </c>
      <c r="S51" s="90">
        <f t="shared" si="14"/>
        <v>2018</v>
      </c>
      <c r="T51" s="90">
        <f t="shared" si="15"/>
        <v>2019</v>
      </c>
    </row>
    <row r="52" spans="1:22" ht="28.2" x14ac:dyDescent="0.3">
      <c r="A52" s="56">
        <v>47</v>
      </c>
      <c r="B52" s="58" t="s">
        <v>218</v>
      </c>
      <c r="C52" s="58" t="s">
        <v>41</v>
      </c>
      <c r="D52" s="57" t="s">
        <v>43</v>
      </c>
      <c r="E52" s="317">
        <v>180000</v>
      </c>
      <c r="F52" s="296" t="s">
        <v>10</v>
      </c>
      <c r="G52" s="228" t="str">
        <f>IF(B52="Repair &amp; Replace",RRCostProjection,VLOOKUP(B52,CIP_Summary,'CIP Summary'!$C$6,FALSE))</f>
        <v>Escalation</v>
      </c>
      <c r="H52" s="228">
        <f t="shared" si="8"/>
        <v>27000</v>
      </c>
      <c r="I52" s="314">
        <f t="shared" si="9"/>
        <v>18000</v>
      </c>
      <c r="J52" s="314">
        <f t="shared" si="10"/>
        <v>225000</v>
      </c>
      <c r="K52" s="316">
        <f>VLOOKUP(B52,CIP_Summary,'CIP Summary'!$G$6,FALSE)</f>
        <v>2021</v>
      </c>
      <c r="L52" s="374">
        <f>IF(B52="repair &amp; replace",VLOOKUP(K52,RR_ENR,2,FALSE),VLOOKUP(B52,CIP_Summary,'CIP Summary'!$H$6,FALSE))</f>
        <v>0</v>
      </c>
      <c r="M52" s="86">
        <f t="shared" si="11"/>
        <v>253239.48224999997</v>
      </c>
      <c r="N52" s="340">
        <f t="shared" si="12"/>
        <v>30388.737869999997</v>
      </c>
      <c r="O52" s="228">
        <f t="shared" si="13"/>
        <v>20259.158579999996</v>
      </c>
      <c r="P52" s="180">
        <f>IF(B52="Repair &amp; Replace",0,VLOOKUP(B52,CIP_Summary,'CIP Summary'!$M$6,FALSE))</f>
        <v>12</v>
      </c>
      <c r="Q52" s="180">
        <f>IF(B52="repair &amp; replace",RR_Construction,VLOOKUP(B52,CIP_Summary,'CIP Summary'!$N$6,FALSE))</f>
        <v>18</v>
      </c>
      <c r="R52" s="180">
        <f>IF(B52="repair &amp; replace",RR_Float,VLOOKUP(B52,CIP_Summary,'CIP Summary'!$O$6,FALSE))</f>
        <v>6</v>
      </c>
      <c r="S52" s="90">
        <f t="shared" si="14"/>
        <v>2018</v>
      </c>
      <c r="T52" s="90">
        <f t="shared" si="15"/>
        <v>2019</v>
      </c>
    </row>
    <row r="53" spans="1:22" ht="55.8" x14ac:dyDescent="0.3">
      <c r="A53" s="56">
        <v>48</v>
      </c>
      <c r="B53" s="58" t="s">
        <v>218</v>
      </c>
      <c r="C53" s="58" t="s">
        <v>41</v>
      </c>
      <c r="D53" s="57" t="s">
        <v>44</v>
      </c>
      <c r="E53" s="315">
        <v>285988</v>
      </c>
      <c r="F53" s="296" t="s">
        <v>10</v>
      </c>
      <c r="G53" s="228" t="str">
        <f>IF(B53="Repair &amp; Replace",RRCostProjection,VLOOKUP(B53,CIP_Summary,'CIP Summary'!$C$6,FALSE))</f>
        <v>Escalation</v>
      </c>
      <c r="H53" s="228">
        <f t="shared" si="8"/>
        <v>42898.2</v>
      </c>
      <c r="I53" s="314">
        <f t="shared" si="9"/>
        <v>28598.800000000003</v>
      </c>
      <c r="J53" s="314">
        <f t="shared" si="10"/>
        <v>357485</v>
      </c>
      <c r="K53" s="316">
        <f>VLOOKUP(B53,CIP_Summary,'CIP Summary'!$G$6,FALSE)</f>
        <v>2021</v>
      </c>
      <c r="L53" s="374">
        <f>IF(B53="repair &amp; replace",VLOOKUP(K53,RR_ENR,2,FALSE),VLOOKUP(B53,CIP_Summary,'CIP Summary'!$H$6,FALSE))</f>
        <v>0</v>
      </c>
      <c r="M53" s="86">
        <f t="shared" si="11"/>
        <v>402352.51694284996</v>
      </c>
      <c r="N53" s="340">
        <f t="shared" si="12"/>
        <v>48282.30203314199</v>
      </c>
      <c r="O53" s="228">
        <f t="shared" si="13"/>
        <v>32188.201355428002</v>
      </c>
      <c r="P53" s="180">
        <f>IF(B53="Repair &amp; Replace",0,VLOOKUP(B53,CIP_Summary,'CIP Summary'!$M$6,FALSE))</f>
        <v>12</v>
      </c>
      <c r="Q53" s="180">
        <f>IF(B53="repair &amp; replace",RR_Construction,VLOOKUP(B53,CIP_Summary,'CIP Summary'!$N$6,FALSE))</f>
        <v>18</v>
      </c>
      <c r="R53" s="180">
        <f>IF(B53="repair &amp; replace",RR_Float,VLOOKUP(B53,CIP_Summary,'CIP Summary'!$O$6,FALSE))</f>
        <v>6</v>
      </c>
      <c r="S53" s="90">
        <f t="shared" si="14"/>
        <v>2018</v>
      </c>
      <c r="T53" s="90">
        <f t="shared" si="15"/>
        <v>2019</v>
      </c>
    </row>
    <row r="54" spans="1:22" x14ac:dyDescent="0.3">
      <c r="A54" s="56">
        <v>49</v>
      </c>
      <c r="B54" s="58" t="s">
        <v>218</v>
      </c>
      <c r="C54" s="58" t="s">
        <v>41</v>
      </c>
      <c r="D54" s="57" t="s">
        <v>45</v>
      </c>
      <c r="E54" s="315">
        <v>4014088</v>
      </c>
      <c r="F54" s="296" t="s">
        <v>10</v>
      </c>
      <c r="G54" s="228" t="str">
        <f>IF(B54="Repair &amp; Replace",RRCostProjection,VLOOKUP(B54,CIP_Summary,'CIP Summary'!$C$6,FALSE))</f>
        <v>Escalation</v>
      </c>
      <c r="H54" s="228">
        <f t="shared" si="8"/>
        <v>602113.19999999995</v>
      </c>
      <c r="I54" s="314">
        <f t="shared" si="9"/>
        <v>401408.80000000005</v>
      </c>
      <c r="J54" s="314">
        <f t="shared" si="10"/>
        <v>5017610</v>
      </c>
      <c r="K54" s="316">
        <f>VLOOKUP(B54,CIP_Summary,'CIP Summary'!$G$6,FALSE)</f>
        <v>2021</v>
      </c>
      <c r="L54" s="374">
        <f>IF(B54="repair &amp; replace",VLOOKUP(K54,RR_ENR,2,FALSE),VLOOKUP(B54,CIP_Summary,'CIP Summary'!$H$6,FALSE))</f>
        <v>0</v>
      </c>
      <c r="M54" s="86">
        <f t="shared" si="11"/>
        <v>5647364.2601440996</v>
      </c>
      <c r="N54" s="340">
        <f t="shared" si="12"/>
        <v>677683.71121729189</v>
      </c>
      <c r="O54" s="228">
        <f t="shared" si="13"/>
        <v>451789.14081152802</v>
      </c>
      <c r="P54" s="180">
        <f>IF(B54="Repair &amp; Replace",0,VLOOKUP(B54,CIP_Summary,'CIP Summary'!$M$6,FALSE))</f>
        <v>12</v>
      </c>
      <c r="Q54" s="180">
        <f>IF(B54="repair &amp; replace",RR_Construction,VLOOKUP(B54,CIP_Summary,'CIP Summary'!$N$6,FALSE))</f>
        <v>18</v>
      </c>
      <c r="R54" s="180">
        <f>IF(B54="repair &amp; replace",RR_Float,VLOOKUP(B54,CIP_Summary,'CIP Summary'!$O$6,FALSE))</f>
        <v>6</v>
      </c>
      <c r="S54" s="90">
        <f t="shared" si="14"/>
        <v>2018</v>
      </c>
      <c r="T54" s="90">
        <f t="shared" si="15"/>
        <v>2019</v>
      </c>
    </row>
    <row r="55" spans="1:22" x14ac:dyDescent="0.3">
      <c r="A55" s="56">
        <v>60</v>
      </c>
      <c r="B55" s="57" t="s">
        <v>219</v>
      </c>
      <c r="C55" s="58" t="s">
        <v>60</v>
      </c>
      <c r="D55" s="57" t="s">
        <v>61</v>
      </c>
      <c r="E55" s="315">
        <v>4185194</v>
      </c>
      <c r="F55" s="296" t="s">
        <v>10</v>
      </c>
      <c r="G55" s="228" t="str">
        <f>IF(B55="Repair &amp; Replace",RRCostProjection,VLOOKUP(B55,CIP_Summary,'CIP Summary'!$C$6,FALSE))</f>
        <v>Escalation</v>
      </c>
      <c r="H55" s="228">
        <f t="shared" si="8"/>
        <v>627779.1</v>
      </c>
      <c r="I55" s="314">
        <f t="shared" si="9"/>
        <v>418519.4</v>
      </c>
      <c r="J55" s="314">
        <f t="shared" si="10"/>
        <v>5231492.5</v>
      </c>
      <c r="K55" s="316">
        <f>VLOOKUP(B55,CIP_Summary,'CIP Summary'!$G$6,FALSE)</f>
        <v>2034</v>
      </c>
      <c r="L55" s="374">
        <f>IF(B55="repair &amp; replace",VLOOKUP(K55,RR_ENR,2,FALSE),VLOOKUP(B55,CIP_Summary,'CIP Summary'!$H$6,FALSE))</f>
        <v>0</v>
      </c>
      <c r="M55" s="86">
        <f t="shared" si="11"/>
        <v>8646859.9918724224</v>
      </c>
      <c r="N55" s="340">
        <f t="shared" si="12"/>
        <v>1037623.1990246907</v>
      </c>
      <c r="O55" s="228">
        <f t="shared" si="13"/>
        <v>691748.79934979382</v>
      </c>
      <c r="P55" s="180">
        <f>IF(B55="Repair &amp; Replace",0,VLOOKUP(B55,CIP_Summary,'CIP Summary'!$M$6,FALSE))</f>
        <v>12</v>
      </c>
      <c r="Q55" s="180">
        <f>IF(B55="repair &amp; replace",RR_Construction,VLOOKUP(B55,CIP_Summary,'CIP Summary'!$N$6,FALSE))</f>
        <v>24</v>
      </c>
      <c r="R55" s="180">
        <f>IF(B55="repair &amp; replace",RR_Float,VLOOKUP(B55,CIP_Summary,'CIP Summary'!$O$6,FALSE))</f>
        <v>6</v>
      </c>
      <c r="S55" s="90">
        <f t="shared" si="14"/>
        <v>2030</v>
      </c>
      <c r="T55" s="90">
        <f t="shared" si="15"/>
        <v>2031</v>
      </c>
    </row>
    <row r="56" spans="1:22" ht="28.2" x14ac:dyDescent="0.3">
      <c r="A56" s="56">
        <v>61</v>
      </c>
      <c r="B56" s="57" t="s">
        <v>71</v>
      </c>
      <c r="C56" s="58" t="s">
        <v>60</v>
      </c>
      <c r="D56" s="57" t="s">
        <v>70</v>
      </c>
      <c r="E56" s="315">
        <v>6427</v>
      </c>
      <c r="F56" s="296" t="s">
        <v>9</v>
      </c>
      <c r="G56" s="228" t="str">
        <f>IF(B56="Repair &amp; Replace",RRCostProjection,VLOOKUP(B56,CIP_Summary,'CIP Summary'!$C$6,FALSE))</f>
        <v>Escalation</v>
      </c>
      <c r="H56" s="228">
        <f t="shared" si="8"/>
        <v>0</v>
      </c>
      <c r="I56" s="314">
        <f t="shared" si="9"/>
        <v>642.70000000000005</v>
      </c>
      <c r="J56" s="314">
        <f t="shared" si="10"/>
        <v>7069.7000000000007</v>
      </c>
      <c r="K56" s="316">
        <f>VLOOKUP(B56,CIP_Summary,'CIP Summary'!$G$6,FALSE)</f>
        <v>2022</v>
      </c>
      <c r="L56" s="374">
        <f>IF(B56="repair &amp; replace",VLOOKUP(K56,RR_ENR,2,FALSE),VLOOKUP(B56,CIP_Summary,'CIP Summary'!$H$6,FALSE))</f>
        <v>0</v>
      </c>
      <c r="M56" s="86">
        <f t="shared" si="11"/>
        <v>8195.7199230787101</v>
      </c>
      <c r="N56" s="340">
        <f t="shared" si="12"/>
        <v>0</v>
      </c>
      <c r="O56" s="228">
        <f t="shared" si="13"/>
        <v>745.06544755261007</v>
      </c>
      <c r="P56" s="180">
        <f>IF(B56="Repair &amp; Replace",0,VLOOKUP(B56,CIP_Summary,'CIP Summary'!$M$6,FALSE))</f>
        <v>6</v>
      </c>
      <c r="Q56" s="180">
        <f>IF(B56="repair &amp; replace",RR_Construction,VLOOKUP(B56,CIP_Summary,'CIP Summary'!$N$6,FALSE))</f>
        <v>6</v>
      </c>
      <c r="R56" s="180">
        <f>IF(B56="repair &amp; replace",RR_Float,VLOOKUP(B56,CIP_Summary,'CIP Summary'!$O$6,FALSE))</f>
        <v>3</v>
      </c>
      <c r="S56" s="90">
        <f t="shared" si="14"/>
        <v>2020</v>
      </c>
      <c r="T56" s="90">
        <f t="shared" si="15"/>
        <v>2021</v>
      </c>
    </row>
    <row r="57" spans="1:22" ht="42" x14ac:dyDescent="0.3">
      <c r="A57" s="56">
        <v>62</v>
      </c>
      <c r="B57" s="57" t="s">
        <v>71</v>
      </c>
      <c r="C57" s="58" t="s">
        <v>60</v>
      </c>
      <c r="D57" s="57" t="s">
        <v>72</v>
      </c>
      <c r="E57" s="315">
        <v>34854</v>
      </c>
      <c r="F57" s="296" t="s">
        <v>9</v>
      </c>
      <c r="G57" s="228" t="str">
        <f>IF(B57="Repair &amp; Replace",RRCostProjection,VLOOKUP(B57,CIP_Summary,'CIP Summary'!$C$6,FALSE))</f>
        <v>Escalation</v>
      </c>
      <c r="H57" s="228">
        <f t="shared" si="8"/>
        <v>0</v>
      </c>
      <c r="I57" s="314">
        <f t="shared" si="9"/>
        <v>3485.4</v>
      </c>
      <c r="J57" s="314">
        <f t="shared" si="10"/>
        <v>38339.4</v>
      </c>
      <c r="K57" s="316">
        <f>VLOOKUP(B57,CIP_Summary,'CIP Summary'!$G$6,FALSE)</f>
        <v>2022</v>
      </c>
      <c r="L57" s="374">
        <f>IF(B57="repair &amp; replace",VLOOKUP(K57,RR_ENR,2,FALSE),VLOOKUP(B57,CIP_Summary,'CIP Summary'!$H$6,FALSE))</f>
        <v>0</v>
      </c>
      <c r="M57" s="86">
        <f t="shared" si="11"/>
        <v>44445.872444217413</v>
      </c>
      <c r="N57" s="340">
        <f t="shared" si="12"/>
        <v>0</v>
      </c>
      <c r="O57" s="228">
        <f t="shared" si="13"/>
        <v>4040.5338585652194</v>
      </c>
      <c r="P57" s="180">
        <f>IF(B57="Repair &amp; Replace",0,VLOOKUP(B57,CIP_Summary,'CIP Summary'!$M$6,FALSE))</f>
        <v>6</v>
      </c>
      <c r="Q57" s="180">
        <f>IF(B57="repair &amp; replace",RR_Construction,VLOOKUP(B57,CIP_Summary,'CIP Summary'!$N$6,FALSE))</f>
        <v>6</v>
      </c>
      <c r="R57" s="180">
        <f>IF(B57="repair &amp; replace",RR_Float,VLOOKUP(B57,CIP_Summary,'CIP Summary'!$O$6,FALSE))</f>
        <v>3</v>
      </c>
      <c r="S57" s="90">
        <f t="shared" si="14"/>
        <v>2020</v>
      </c>
      <c r="T57" s="90">
        <f t="shared" si="15"/>
        <v>2021</v>
      </c>
    </row>
    <row r="58" spans="1:22" ht="28.2" x14ac:dyDescent="0.3">
      <c r="A58" s="56">
        <v>63</v>
      </c>
      <c r="B58" s="57" t="s">
        <v>71</v>
      </c>
      <c r="C58" s="58" t="s">
        <v>60</v>
      </c>
      <c r="D58" s="57" t="s">
        <v>83</v>
      </c>
      <c r="E58" s="315">
        <v>2305</v>
      </c>
      <c r="F58" s="296" t="s">
        <v>9</v>
      </c>
      <c r="G58" s="228" t="str">
        <f>IF(B58="Repair &amp; Replace",RRCostProjection,VLOOKUP(B58,CIP_Summary,'CIP Summary'!$C$6,FALSE))</f>
        <v>Escalation</v>
      </c>
      <c r="H58" s="228">
        <f t="shared" si="8"/>
        <v>0</v>
      </c>
      <c r="I58" s="314">
        <f t="shared" si="9"/>
        <v>230.5</v>
      </c>
      <c r="J58" s="314">
        <f t="shared" si="10"/>
        <v>2535.5</v>
      </c>
      <c r="K58" s="316">
        <f>VLOOKUP(B58,CIP_Summary,'CIP Summary'!$G$6,FALSE)</f>
        <v>2022</v>
      </c>
      <c r="L58" s="374">
        <f>IF(B58="repair &amp; replace",VLOOKUP(K58,RR_ENR,2,FALSE),VLOOKUP(B58,CIP_Summary,'CIP Summary'!$H$6,FALSE))</f>
        <v>0</v>
      </c>
      <c r="M58" s="86">
        <f t="shared" si="11"/>
        <v>2939.3394153876498</v>
      </c>
      <c r="N58" s="340">
        <f t="shared" si="12"/>
        <v>0</v>
      </c>
      <c r="O58" s="228">
        <f t="shared" si="13"/>
        <v>267.21267412614998</v>
      </c>
      <c r="P58" s="180">
        <f>IF(B58="Repair &amp; Replace",0,VLOOKUP(B58,CIP_Summary,'CIP Summary'!$M$6,FALSE))</f>
        <v>6</v>
      </c>
      <c r="Q58" s="180">
        <f>IF(B58="repair &amp; replace",RR_Construction,VLOOKUP(B58,CIP_Summary,'CIP Summary'!$N$6,FALSE))</f>
        <v>6</v>
      </c>
      <c r="R58" s="180">
        <f>IF(B58="repair &amp; replace",RR_Float,VLOOKUP(B58,CIP_Summary,'CIP Summary'!$O$6,FALSE))</f>
        <v>3</v>
      </c>
      <c r="S58" s="90">
        <f t="shared" si="14"/>
        <v>2020</v>
      </c>
      <c r="T58" s="90">
        <f t="shared" si="15"/>
        <v>2021</v>
      </c>
    </row>
    <row r="59" spans="1:22" ht="28.2" x14ac:dyDescent="0.3">
      <c r="A59" s="56">
        <v>64</v>
      </c>
      <c r="B59" s="57" t="s">
        <v>71</v>
      </c>
      <c r="C59" s="58" t="s">
        <v>60</v>
      </c>
      <c r="D59" s="57" t="s">
        <v>75</v>
      </c>
      <c r="E59" s="315">
        <v>4851</v>
      </c>
      <c r="F59" s="296" t="s">
        <v>9</v>
      </c>
      <c r="G59" s="228" t="str">
        <f>IF(B59="Repair &amp; Replace",RRCostProjection,VLOOKUP(B59,CIP_Summary,'CIP Summary'!$C$6,FALSE))</f>
        <v>Escalation</v>
      </c>
      <c r="H59" s="228">
        <f t="shared" si="8"/>
        <v>0</v>
      </c>
      <c r="I59" s="314">
        <f t="shared" si="9"/>
        <v>485.1</v>
      </c>
      <c r="J59" s="314">
        <f t="shared" si="10"/>
        <v>5336.1</v>
      </c>
      <c r="K59" s="316">
        <f>VLOOKUP(B59,CIP_Summary,'CIP Summary'!$G$6,FALSE)</f>
        <v>2022</v>
      </c>
      <c r="L59" s="374">
        <f>IF(B59="repair &amp; replace",VLOOKUP(K59,RR_ENR,2,FALSE),VLOOKUP(B59,CIP_Summary,'CIP Summary'!$H$6,FALSE))</f>
        <v>0</v>
      </c>
      <c r="M59" s="86">
        <f t="shared" si="11"/>
        <v>6186.0023878722295</v>
      </c>
      <c r="N59" s="340">
        <f t="shared" si="12"/>
        <v>0</v>
      </c>
      <c r="O59" s="228">
        <f t="shared" si="13"/>
        <v>562.36385344292989</v>
      </c>
      <c r="P59" s="180">
        <f>IF(B59="Repair &amp; Replace",0,VLOOKUP(B59,CIP_Summary,'CIP Summary'!$M$6,FALSE))</f>
        <v>6</v>
      </c>
      <c r="Q59" s="180">
        <f>IF(B59="repair &amp; replace",RR_Construction,VLOOKUP(B59,CIP_Summary,'CIP Summary'!$N$6,FALSE))</f>
        <v>6</v>
      </c>
      <c r="R59" s="180">
        <f>IF(B59="repair &amp; replace",RR_Float,VLOOKUP(B59,CIP_Summary,'CIP Summary'!$O$6,FALSE))</f>
        <v>3</v>
      </c>
      <c r="S59" s="90">
        <f t="shared" si="14"/>
        <v>2020</v>
      </c>
      <c r="T59" s="90">
        <f t="shared" si="15"/>
        <v>2021</v>
      </c>
    </row>
    <row r="60" spans="1:22" ht="28.2" x14ac:dyDescent="0.3">
      <c r="A60" s="56">
        <v>65</v>
      </c>
      <c r="B60" s="58" t="s">
        <v>71</v>
      </c>
      <c r="C60" s="58" t="s">
        <v>60</v>
      </c>
      <c r="D60" s="59" t="s">
        <v>84</v>
      </c>
      <c r="E60" s="315">
        <v>3505</v>
      </c>
      <c r="F60" s="296" t="s">
        <v>9</v>
      </c>
      <c r="G60" s="228" t="str">
        <f>IF(B60="Repair &amp; Replace",RRCostProjection,VLOOKUP(B60,CIP_Summary,'CIP Summary'!$C$6,FALSE))</f>
        <v>Escalation</v>
      </c>
      <c r="H60" s="228">
        <f t="shared" si="8"/>
        <v>0</v>
      </c>
      <c r="I60" s="314">
        <f t="shared" si="9"/>
        <v>350.5</v>
      </c>
      <c r="J60" s="314">
        <f t="shared" si="10"/>
        <v>3855.5000000000005</v>
      </c>
      <c r="K60" s="316">
        <f>VLOOKUP(B60,CIP_Summary,'CIP Summary'!$G$6,FALSE)</f>
        <v>2022</v>
      </c>
      <c r="L60" s="374">
        <f>IF(B60="repair &amp; replace",VLOOKUP(K60,RR_ENR,2,FALSE),VLOOKUP(B60,CIP_Summary,'CIP Summary'!$H$6,FALSE))</f>
        <v>0</v>
      </c>
      <c r="M60" s="86">
        <f t="shared" si="11"/>
        <v>4469.5811934636504</v>
      </c>
      <c r="N60" s="340">
        <f t="shared" si="12"/>
        <v>0</v>
      </c>
      <c r="O60" s="228">
        <f t="shared" si="13"/>
        <v>406.32556304215001</v>
      </c>
      <c r="P60" s="180">
        <f>IF(B60="Repair &amp; Replace",0,VLOOKUP(B60,CIP_Summary,'CIP Summary'!$M$6,FALSE))</f>
        <v>6</v>
      </c>
      <c r="Q60" s="180">
        <f>IF(B60="repair &amp; replace",RR_Construction,VLOOKUP(B60,CIP_Summary,'CIP Summary'!$N$6,FALSE))</f>
        <v>6</v>
      </c>
      <c r="R60" s="180">
        <f>IF(B60="repair &amp; replace",RR_Float,VLOOKUP(B60,CIP_Summary,'CIP Summary'!$O$6,FALSE))</f>
        <v>3</v>
      </c>
      <c r="S60" s="90">
        <f t="shared" si="14"/>
        <v>2020</v>
      </c>
      <c r="T60" s="90">
        <f t="shared" si="15"/>
        <v>2021</v>
      </c>
    </row>
    <row r="61" spans="1:22" ht="42" x14ac:dyDescent="0.3">
      <c r="A61" s="56">
        <v>66</v>
      </c>
      <c r="B61" s="58" t="s">
        <v>71</v>
      </c>
      <c r="C61" s="58" t="s">
        <v>60</v>
      </c>
      <c r="D61" s="59" t="s">
        <v>85</v>
      </c>
      <c r="E61" s="315">
        <v>43493</v>
      </c>
      <c r="F61" s="296" t="s">
        <v>9</v>
      </c>
      <c r="G61" s="228" t="str">
        <f>IF(B61="Repair &amp; Replace",RRCostProjection,VLOOKUP(B61,CIP_Summary,'CIP Summary'!$C$6,FALSE))</f>
        <v>Escalation</v>
      </c>
      <c r="H61" s="228">
        <f t="shared" si="8"/>
        <v>0</v>
      </c>
      <c r="I61" s="314">
        <f t="shared" si="9"/>
        <v>4349.3</v>
      </c>
      <c r="J61" s="314">
        <f t="shared" si="10"/>
        <v>47842.3</v>
      </c>
      <c r="K61" s="316">
        <f>VLOOKUP(B61,CIP_Summary,'CIP Summary'!$G$6,FALSE)</f>
        <v>2022</v>
      </c>
      <c r="L61" s="374">
        <f>IF(B61="repair &amp; replace",VLOOKUP(K61,RR_ENR,2,FALSE),VLOOKUP(B61,CIP_Summary,'CIP Summary'!$H$6,FALSE))</f>
        <v>0</v>
      </c>
      <c r="M61" s="86">
        <f t="shared" si="11"/>
        <v>55462.338044882883</v>
      </c>
      <c r="N61" s="340">
        <f t="shared" si="12"/>
        <v>0</v>
      </c>
      <c r="O61" s="228">
        <f t="shared" si="13"/>
        <v>5042.0307313529893</v>
      </c>
      <c r="P61" s="180">
        <f>IF(B61="Repair &amp; Replace",0,VLOOKUP(B61,CIP_Summary,'CIP Summary'!$M$6,FALSE))</f>
        <v>6</v>
      </c>
      <c r="Q61" s="180">
        <f>IF(B61="repair &amp; replace",RR_Construction,VLOOKUP(B61,CIP_Summary,'CIP Summary'!$N$6,FALSE))</f>
        <v>6</v>
      </c>
      <c r="R61" s="180">
        <f>IF(B61="repair &amp; replace",RR_Float,VLOOKUP(B61,CIP_Summary,'CIP Summary'!$O$6,FALSE))</f>
        <v>3</v>
      </c>
      <c r="S61" s="90">
        <f t="shared" si="14"/>
        <v>2020</v>
      </c>
      <c r="T61" s="90">
        <f t="shared" si="15"/>
        <v>2021</v>
      </c>
    </row>
    <row r="62" spans="1:22" x14ac:dyDescent="0.3">
      <c r="A62" s="56">
        <v>68</v>
      </c>
      <c r="B62" s="58" t="s">
        <v>96</v>
      </c>
      <c r="C62" s="58" t="s">
        <v>60</v>
      </c>
      <c r="D62" s="58" t="s">
        <v>113</v>
      </c>
      <c r="E62" s="317">
        <v>351000</v>
      </c>
      <c r="F62" s="296" t="s">
        <v>9</v>
      </c>
      <c r="G62" s="228" t="str">
        <f>IF(B62="Repair &amp; Replace",RRCostProjection,VLOOKUP(B62,CIP_Summary,'CIP Summary'!$C$6,FALSE))</f>
        <v>Escalation</v>
      </c>
      <c r="H62" s="228">
        <f t="shared" si="8"/>
        <v>0</v>
      </c>
      <c r="I62" s="314">
        <f t="shared" si="9"/>
        <v>35100</v>
      </c>
      <c r="J62" s="314">
        <f t="shared" si="10"/>
        <v>386100.00000000006</v>
      </c>
      <c r="K62" s="325">
        <v>2022</v>
      </c>
      <c r="L62" s="374">
        <f>IF(B62="repair &amp; replace",VLOOKUP(K62,RR_ENR,2,FALSE),VLOOKUP(B62,CIP_Summary,'CIP Summary'!$H$6,FALSE))</f>
        <v>0</v>
      </c>
      <c r="M62" s="86">
        <f t="shared" si="11"/>
        <v>447595.72008723003</v>
      </c>
      <c r="N62" s="340">
        <f t="shared" si="12"/>
        <v>0</v>
      </c>
      <c r="O62" s="228">
        <f t="shared" si="13"/>
        <v>40690.520007929998</v>
      </c>
      <c r="P62" s="180">
        <f>IF(B62="Repair &amp; Replace",0,VLOOKUP(B62,CIP_Summary,'CIP Summary'!$M$6,FALSE))</f>
        <v>0</v>
      </c>
      <c r="Q62" s="180">
        <f>IF(B62="repair &amp; replace",RR_Construction,VLOOKUP(B62,CIP_Summary,'CIP Summary'!$N$6,FALSE))</f>
        <v>6</v>
      </c>
      <c r="R62" s="180">
        <f>IF(B62="repair &amp; replace",RR_Float,VLOOKUP(B62,CIP_Summary,'CIP Summary'!$O$6,FALSE))</f>
        <v>6</v>
      </c>
      <c r="S62" s="90">
        <f t="shared" si="14"/>
        <v>2021</v>
      </c>
      <c r="T62" s="90">
        <f t="shared" si="15"/>
        <v>2021</v>
      </c>
    </row>
    <row r="63" spans="1:22" x14ac:dyDescent="0.3">
      <c r="A63" s="56">
        <v>69</v>
      </c>
      <c r="B63" s="58" t="s">
        <v>218</v>
      </c>
      <c r="C63" s="58" t="s">
        <v>60</v>
      </c>
      <c r="D63" s="58" t="s">
        <v>114</v>
      </c>
      <c r="E63" s="317">
        <v>238323</v>
      </c>
      <c r="F63" s="296" t="s">
        <v>10</v>
      </c>
      <c r="G63" s="228" t="str">
        <f>IF(B63="Repair &amp; Replace",RRCostProjection,VLOOKUP(B63,CIP_Summary,'CIP Summary'!$C$6,FALSE))</f>
        <v>Escalation</v>
      </c>
      <c r="H63" s="228">
        <f t="shared" si="8"/>
        <v>35748.449999999997</v>
      </c>
      <c r="I63" s="314">
        <f t="shared" si="9"/>
        <v>23832.300000000003</v>
      </c>
      <c r="J63" s="314">
        <f t="shared" si="10"/>
        <v>297903.75</v>
      </c>
      <c r="K63" s="316">
        <f>VLOOKUP(B63,CIP_Summary,'CIP Summary'!$G$6,FALSE)</f>
        <v>2021</v>
      </c>
      <c r="L63" s="374">
        <f>IF(B63="repair &amp; replace",VLOOKUP(K63,RR_ENR,2,FALSE),VLOOKUP(B63,CIP_Summary,'CIP Summary'!$H$6,FALSE))</f>
        <v>0</v>
      </c>
      <c r="M63" s="86">
        <f t="shared" si="11"/>
        <v>335293.2951570375</v>
      </c>
      <c r="N63" s="340">
        <f t="shared" si="12"/>
        <v>40235.195418844494</v>
      </c>
      <c r="O63" s="228">
        <f t="shared" si="13"/>
        <v>26823.463612563002</v>
      </c>
      <c r="P63" s="180">
        <f>IF(B63="Repair &amp; Replace",0,VLOOKUP(B63,CIP_Summary,'CIP Summary'!$M$6,FALSE))</f>
        <v>12</v>
      </c>
      <c r="Q63" s="180">
        <f>IF(B63="repair &amp; replace",RR_Construction,VLOOKUP(B63,CIP_Summary,'CIP Summary'!$N$6,FALSE))</f>
        <v>18</v>
      </c>
      <c r="R63" s="180">
        <f>IF(B63="repair &amp; replace",RR_Float,VLOOKUP(B63,CIP_Summary,'CIP Summary'!$O$6,FALSE))</f>
        <v>6</v>
      </c>
      <c r="S63" s="90">
        <f t="shared" si="14"/>
        <v>2018</v>
      </c>
      <c r="T63" s="90">
        <f t="shared" si="15"/>
        <v>2019</v>
      </c>
    </row>
    <row r="64" spans="1:22" x14ac:dyDescent="0.3">
      <c r="A64" s="56">
        <v>73</v>
      </c>
      <c r="B64" s="57" t="s">
        <v>96</v>
      </c>
      <c r="C64" s="58" t="s">
        <v>60</v>
      </c>
      <c r="D64" s="58" t="s">
        <v>115</v>
      </c>
      <c r="E64" s="317">
        <v>70000</v>
      </c>
      <c r="F64" s="296" t="s">
        <v>9</v>
      </c>
      <c r="G64" s="228" t="str">
        <f>IF(B64="Repair &amp; Replace",RRCostProjection,VLOOKUP(B64,CIP_Summary,'CIP Summary'!$C$6,FALSE))</f>
        <v>Escalation</v>
      </c>
      <c r="H64" s="228">
        <f t="shared" si="8"/>
        <v>0</v>
      </c>
      <c r="I64" s="314">
        <f t="shared" si="9"/>
        <v>7000</v>
      </c>
      <c r="J64" s="314">
        <f t="shared" si="10"/>
        <v>77000</v>
      </c>
      <c r="K64" s="316">
        <v>2036</v>
      </c>
      <c r="L64" s="374">
        <f>IF(B64="repair &amp; replace",VLOOKUP(K64,RR_ENR,2,FALSE),VLOOKUP(B64,CIP_Summary,'CIP Summary'!$H$6,FALSE))</f>
        <v>0</v>
      </c>
      <c r="M64" s="86">
        <f t="shared" si="11"/>
        <v>135019.96608693671</v>
      </c>
      <c r="N64" s="340">
        <f t="shared" si="12"/>
        <v>0</v>
      </c>
      <c r="O64" s="228">
        <f t="shared" si="13"/>
        <v>12274.542371539701</v>
      </c>
      <c r="P64" s="180">
        <f>IF(B64="Repair &amp; Replace",0,VLOOKUP(B64,CIP_Summary,'CIP Summary'!$M$6,FALSE))</f>
        <v>0</v>
      </c>
      <c r="Q64" s="180">
        <f>IF(B64="repair &amp; replace",RR_Construction,VLOOKUP(B64,CIP_Summary,'CIP Summary'!$N$6,FALSE))</f>
        <v>6</v>
      </c>
      <c r="R64" s="180">
        <f>IF(B64="repair &amp; replace",RR_Float,VLOOKUP(B64,CIP_Summary,'CIP Summary'!$O$6,FALSE))</f>
        <v>6</v>
      </c>
      <c r="S64" s="90">
        <f t="shared" si="14"/>
        <v>2035</v>
      </c>
      <c r="T64" s="90">
        <f t="shared" si="15"/>
        <v>2035</v>
      </c>
    </row>
    <row r="65" spans="1:20" x14ac:dyDescent="0.3">
      <c r="A65" s="56">
        <v>74</v>
      </c>
      <c r="B65" s="57" t="s">
        <v>96</v>
      </c>
      <c r="C65" s="58" t="s">
        <v>60</v>
      </c>
      <c r="D65" s="57" t="s">
        <v>116</v>
      </c>
      <c r="E65" s="317">
        <v>402000</v>
      </c>
      <c r="F65" s="296" t="s">
        <v>9</v>
      </c>
      <c r="G65" s="228" t="str">
        <f>IF(B65="Repair &amp; Replace",RRCostProjection,VLOOKUP(B65,CIP_Summary,'CIP Summary'!$C$6,FALSE))</f>
        <v>Escalation</v>
      </c>
      <c r="H65" s="228">
        <f t="shared" si="8"/>
        <v>0</v>
      </c>
      <c r="I65" s="314">
        <f t="shared" si="9"/>
        <v>40200</v>
      </c>
      <c r="J65" s="314">
        <f t="shared" si="10"/>
        <v>442200.00000000006</v>
      </c>
      <c r="K65" s="325">
        <v>2036</v>
      </c>
      <c r="L65" s="374">
        <f>IF(B65="repair &amp; replace",VLOOKUP(K65,RR_ENR,2,FALSE),VLOOKUP(B65,CIP_Summary,'CIP Summary'!$H$6,FALSE))</f>
        <v>0</v>
      </c>
      <c r="M65" s="86">
        <f t="shared" si="11"/>
        <v>775400.37667069386</v>
      </c>
      <c r="N65" s="340">
        <f t="shared" si="12"/>
        <v>0</v>
      </c>
      <c r="O65" s="228">
        <f t="shared" si="13"/>
        <v>70490.943333699426</v>
      </c>
      <c r="P65" s="180">
        <f>IF(B65="Repair &amp; Replace",0,VLOOKUP(B65,CIP_Summary,'CIP Summary'!$M$6,FALSE))</f>
        <v>0</v>
      </c>
      <c r="Q65" s="180">
        <f>IF(B65="repair &amp; replace",RR_Construction,VLOOKUP(B65,CIP_Summary,'CIP Summary'!$N$6,FALSE))</f>
        <v>6</v>
      </c>
      <c r="R65" s="180">
        <f>IF(B65="repair &amp; replace",RR_Float,VLOOKUP(B65,CIP_Summary,'CIP Summary'!$O$6,FALSE))</f>
        <v>6</v>
      </c>
      <c r="S65" s="90">
        <f t="shared" si="14"/>
        <v>2035</v>
      </c>
      <c r="T65" s="90">
        <f t="shared" si="15"/>
        <v>2035</v>
      </c>
    </row>
    <row r="66" spans="1:20" ht="28.2" x14ac:dyDescent="0.3">
      <c r="A66" s="56">
        <v>75</v>
      </c>
      <c r="B66" s="58" t="s">
        <v>218</v>
      </c>
      <c r="C66" s="57" t="s">
        <v>46</v>
      </c>
      <c r="D66" s="57" t="s">
        <v>47</v>
      </c>
      <c r="E66" s="315">
        <v>1212081</v>
      </c>
      <c r="F66" s="296" t="s">
        <v>10</v>
      </c>
      <c r="G66" s="228" t="str">
        <f>IF(B66="Repair &amp; Replace",RRCostProjection,VLOOKUP(B66,CIP_Summary,'CIP Summary'!$C$6,FALSE))</f>
        <v>Escalation</v>
      </c>
      <c r="H66" s="228">
        <f t="shared" si="8"/>
        <v>181812.15</v>
      </c>
      <c r="I66" s="314">
        <f t="shared" si="9"/>
        <v>121208.1</v>
      </c>
      <c r="J66" s="314">
        <f t="shared" si="10"/>
        <v>1515101.25</v>
      </c>
      <c r="K66" s="316">
        <f>VLOOKUP(B66,CIP_Summary,'CIP Summary'!$G$6,FALSE)</f>
        <v>2021</v>
      </c>
      <c r="L66" s="374">
        <f>IF(B66="repair &amp; replace",VLOOKUP(K66,RR_ENR,2,FALSE),VLOOKUP(B66,CIP_Summary,'CIP Summary'!$H$6,FALSE))</f>
        <v>0</v>
      </c>
      <c r="M66" s="86">
        <f t="shared" si="11"/>
        <v>1705259.8049170123</v>
      </c>
      <c r="N66" s="340">
        <f t="shared" si="12"/>
        <v>204631.17659004149</v>
      </c>
      <c r="O66" s="228">
        <f t="shared" si="13"/>
        <v>136420.78439336098</v>
      </c>
      <c r="P66" s="180">
        <f>IF(B66="Repair &amp; Replace",0,VLOOKUP(B66,CIP_Summary,'CIP Summary'!$M$6,FALSE))</f>
        <v>12</v>
      </c>
      <c r="Q66" s="180">
        <f>IF(B66="repair &amp; replace",RR_Construction,VLOOKUP(B66,CIP_Summary,'CIP Summary'!$N$6,FALSE))</f>
        <v>18</v>
      </c>
      <c r="R66" s="180">
        <f>IF(B66="repair &amp; replace",RR_Float,VLOOKUP(B66,CIP_Summary,'CIP Summary'!$O$6,FALSE))</f>
        <v>6</v>
      </c>
      <c r="S66" s="90">
        <f t="shared" si="14"/>
        <v>2018</v>
      </c>
      <c r="T66" s="90">
        <f t="shared" si="15"/>
        <v>2019</v>
      </c>
    </row>
    <row r="67" spans="1:20" ht="28.2" x14ac:dyDescent="0.3">
      <c r="A67" s="56">
        <v>76</v>
      </c>
      <c r="B67" s="57" t="s">
        <v>219</v>
      </c>
      <c r="C67" s="57" t="s">
        <v>46</v>
      </c>
      <c r="D67" s="57" t="s">
        <v>62</v>
      </c>
      <c r="E67" s="315">
        <v>4896098</v>
      </c>
      <c r="F67" s="296" t="s">
        <v>10</v>
      </c>
      <c r="G67" s="228" t="str">
        <f>IF(B67="Repair &amp; Replace",RRCostProjection,VLOOKUP(B67,CIP_Summary,'CIP Summary'!$C$6,FALSE))</f>
        <v>Escalation</v>
      </c>
      <c r="H67" s="228">
        <f t="shared" si="8"/>
        <v>734414.7</v>
      </c>
      <c r="I67" s="314">
        <f t="shared" si="9"/>
        <v>489609.80000000005</v>
      </c>
      <c r="J67" s="314">
        <f t="shared" si="10"/>
        <v>6120122.5</v>
      </c>
      <c r="K67" s="316">
        <f>VLOOKUP(B67,CIP_Summary,'CIP Summary'!$G$6,FALSE)</f>
        <v>2034</v>
      </c>
      <c r="L67" s="374">
        <f>IF(B67="repair &amp; replace",VLOOKUP(K67,RR_ENR,2,FALSE),VLOOKUP(B67,CIP_Summary,'CIP Summary'!$H$6,FALSE))</f>
        <v>0</v>
      </c>
      <c r="M67" s="86">
        <f t="shared" si="11"/>
        <v>10115629.983338067</v>
      </c>
      <c r="N67" s="340">
        <f t="shared" si="12"/>
        <v>1213875.5980005681</v>
      </c>
      <c r="O67" s="228">
        <f t="shared" si="13"/>
        <v>809250.39866704552</v>
      </c>
      <c r="P67" s="180">
        <f>IF(B67="Repair &amp; Replace",0,VLOOKUP(B67,CIP_Summary,'CIP Summary'!$M$6,FALSE))</f>
        <v>12</v>
      </c>
      <c r="Q67" s="180">
        <f>IF(B67="repair &amp; replace",RR_Construction,VLOOKUP(B67,CIP_Summary,'CIP Summary'!$N$6,FALSE))</f>
        <v>24</v>
      </c>
      <c r="R67" s="180">
        <f>IF(B67="repair &amp; replace",RR_Float,VLOOKUP(B67,CIP_Summary,'CIP Summary'!$O$6,FALSE))</f>
        <v>6</v>
      </c>
      <c r="S67" s="90">
        <f t="shared" si="14"/>
        <v>2030</v>
      </c>
      <c r="T67" s="90">
        <f t="shared" si="15"/>
        <v>2031</v>
      </c>
    </row>
    <row r="68" spans="1:20" ht="28.2" x14ac:dyDescent="0.3">
      <c r="A68" s="56">
        <v>77</v>
      </c>
      <c r="B68" s="57" t="s">
        <v>219</v>
      </c>
      <c r="C68" s="58" t="s">
        <v>46</v>
      </c>
      <c r="D68" s="57" t="s">
        <v>63</v>
      </c>
      <c r="E68" s="315">
        <v>1185023</v>
      </c>
      <c r="F68" s="296" t="s">
        <v>10</v>
      </c>
      <c r="G68" s="228" t="str">
        <f>IF(B68="Repair &amp; Replace",RRCostProjection,VLOOKUP(B68,CIP_Summary,'CIP Summary'!$C$6,FALSE))</f>
        <v>Escalation</v>
      </c>
      <c r="H68" s="228">
        <f t="shared" si="8"/>
        <v>177753.44999999998</v>
      </c>
      <c r="I68" s="314">
        <f t="shared" si="9"/>
        <v>118502.3</v>
      </c>
      <c r="J68" s="314">
        <f t="shared" si="10"/>
        <v>1481278.75</v>
      </c>
      <c r="K68" s="316">
        <f>VLOOKUP(B68,CIP_Summary,'CIP Summary'!$G$6,FALSE)</f>
        <v>2034</v>
      </c>
      <c r="L68" s="374">
        <f>IF(B68="repair &amp; replace",VLOOKUP(K68,RR_ENR,2,FALSE),VLOOKUP(B68,CIP_Summary,'CIP Summary'!$H$6,FALSE))</f>
        <v>0</v>
      </c>
      <c r="M68" s="86">
        <f t="shared" si="11"/>
        <v>2448328.0746719586</v>
      </c>
      <c r="N68" s="340">
        <f t="shared" si="12"/>
        <v>293799.36896063498</v>
      </c>
      <c r="O68" s="228">
        <f t="shared" si="13"/>
        <v>195866.24597375668</v>
      </c>
      <c r="P68" s="180">
        <f>IF(B68="Repair &amp; Replace",0,VLOOKUP(B68,CIP_Summary,'CIP Summary'!$M$6,FALSE))</f>
        <v>12</v>
      </c>
      <c r="Q68" s="180">
        <f>IF(B68="repair &amp; replace",RR_Construction,VLOOKUP(B68,CIP_Summary,'CIP Summary'!$N$6,FALSE))</f>
        <v>24</v>
      </c>
      <c r="R68" s="180">
        <f>IF(B68="repair &amp; replace",RR_Float,VLOOKUP(B68,CIP_Summary,'CIP Summary'!$O$6,FALSE))</f>
        <v>6</v>
      </c>
      <c r="S68" s="90">
        <f t="shared" si="14"/>
        <v>2030</v>
      </c>
      <c r="T68" s="90">
        <f t="shared" si="15"/>
        <v>2031</v>
      </c>
    </row>
    <row r="69" spans="1:20" ht="28.2" x14ac:dyDescent="0.3">
      <c r="A69" s="56">
        <v>79</v>
      </c>
      <c r="B69" s="57" t="s">
        <v>71</v>
      </c>
      <c r="C69" s="57" t="s">
        <v>46</v>
      </c>
      <c r="D69" s="57" t="s">
        <v>86</v>
      </c>
      <c r="E69" s="315">
        <v>14553</v>
      </c>
      <c r="F69" s="296" t="s">
        <v>9</v>
      </c>
      <c r="G69" s="228" t="str">
        <f>IF(B69="Repair &amp; Replace",RRCostProjection,VLOOKUP(B69,CIP_Summary,'CIP Summary'!$C$6,FALSE))</f>
        <v>Escalation</v>
      </c>
      <c r="H69" s="228">
        <f t="shared" si="8"/>
        <v>0</v>
      </c>
      <c r="I69" s="314">
        <f t="shared" si="9"/>
        <v>1455.3000000000002</v>
      </c>
      <c r="J69" s="314">
        <f t="shared" si="10"/>
        <v>16008.300000000001</v>
      </c>
      <c r="K69" s="316">
        <f>VLOOKUP(B69,CIP_Summary,'CIP Summary'!$G$6,FALSE)</f>
        <v>2022</v>
      </c>
      <c r="L69" s="374">
        <f>IF(B69="repair &amp; replace",VLOOKUP(K69,RR_ENR,2,FALSE),VLOOKUP(B69,CIP_Summary,'CIP Summary'!$H$6,FALSE))</f>
        <v>0</v>
      </c>
      <c r="M69" s="86">
        <f t="shared" si="11"/>
        <v>18558.00716361669</v>
      </c>
      <c r="N69" s="340">
        <f t="shared" si="12"/>
        <v>0</v>
      </c>
      <c r="O69" s="228">
        <f t="shared" si="13"/>
        <v>1687.0915603287901</v>
      </c>
      <c r="P69" s="180">
        <f>IF(B69="Repair &amp; Replace",0,VLOOKUP(B69,CIP_Summary,'CIP Summary'!$M$6,FALSE))</f>
        <v>6</v>
      </c>
      <c r="Q69" s="180">
        <f>IF(B69="repair &amp; replace",RR_Construction,VLOOKUP(B69,CIP_Summary,'CIP Summary'!$N$6,FALSE))</f>
        <v>6</v>
      </c>
      <c r="R69" s="180">
        <f>IF(B69="repair &amp; replace",RR_Float,VLOOKUP(B69,CIP_Summary,'CIP Summary'!$O$6,FALSE))</f>
        <v>3</v>
      </c>
      <c r="S69" s="90">
        <f t="shared" si="14"/>
        <v>2020</v>
      </c>
      <c r="T69" s="90">
        <f t="shared" si="15"/>
        <v>2021</v>
      </c>
    </row>
    <row r="70" spans="1:20" ht="28.2" x14ac:dyDescent="0.3">
      <c r="A70" s="56">
        <v>80</v>
      </c>
      <c r="B70" s="57" t="s">
        <v>71</v>
      </c>
      <c r="C70" s="57" t="s">
        <v>46</v>
      </c>
      <c r="D70" s="57" t="s">
        <v>73</v>
      </c>
      <c r="E70" s="315">
        <v>7011</v>
      </c>
      <c r="F70" s="296" t="s">
        <v>9</v>
      </c>
      <c r="G70" s="228" t="str">
        <f>IF(B70="Repair &amp; Replace",RRCostProjection,VLOOKUP(B70,CIP_Summary,'CIP Summary'!$C$6,FALSE))</f>
        <v>Escalation</v>
      </c>
      <c r="H70" s="228">
        <f t="shared" si="8"/>
        <v>0</v>
      </c>
      <c r="I70" s="314">
        <f t="shared" si="9"/>
        <v>701.1</v>
      </c>
      <c r="J70" s="314">
        <f t="shared" si="10"/>
        <v>7712.1</v>
      </c>
      <c r="K70" s="316">
        <f>VLOOKUP(B70,CIP_Summary,'CIP Summary'!$G$6,FALSE)</f>
        <v>2022</v>
      </c>
      <c r="L70" s="374">
        <f>IF(B70="repair &amp; replace",VLOOKUP(K70,RR_ENR,2,FALSE),VLOOKUP(B70,CIP_Summary,'CIP Summary'!$H$6,FALSE))</f>
        <v>0</v>
      </c>
      <c r="M70" s="86">
        <f t="shared" si="11"/>
        <v>8940.4375884090296</v>
      </c>
      <c r="N70" s="340">
        <f t="shared" si="12"/>
        <v>0</v>
      </c>
      <c r="O70" s="228">
        <f t="shared" si="13"/>
        <v>812.76705349172994</v>
      </c>
      <c r="P70" s="180">
        <f>IF(B70="Repair &amp; Replace",0,VLOOKUP(B70,CIP_Summary,'CIP Summary'!$M$6,FALSE))</f>
        <v>6</v>
      </c>
      <c r="Q70" s="180">
        <f>IF(B70="repair &amp; replace",RR_Construction,VLOOKUP(B70,CIP_Summary,'CIP Summary'!$N$6,FALSE))</f>
        <v>6</v>
      </c>
      <c r="R70" s="180">
        <f>IF(B70="repair &amp; replace",RR_Float,VLOOKUP(B70,CIP_Summary,'CIP Summary'!$O$6,FALSE))</f>
        <v>3</v>
      </c>
      <c r="S70" s="90">
        <f t="shared" si="14"/>
        <v>2020</v>
      </c>
      <c r="T70" s="90">
        <f t="shared" si="15"/>
        <v>2021</v>
      </c>
    </row>
    <row r="71" spans="1:20" ht="42" x14ac:dyDescent="0.3">
      <c r="A71" s="56">
        <v>81</v>
      </c>
      <c r="B71" s="58" t="s">
        <v>71</v>
      </c>
      <c r="C71" s="58" t="s">
        <v>46</v>
      </c>
      <c r="D71" s="59" t="s">
        <v>266</v>
      </c>
      <c r="E71" s="315">
        <v>81982</v>
      </c>
      <c r="F71" s="296" t="s">
        <v>9</v>
      </c>
      <c r="G71" s="228" t="str">
        <f>IF(B71="Repair &amp; Replace",RRCostProjection,VLOOKUP(B71,CIP_Summary,'CIP Summary'!$C$6,FALSE))</f>
        <v>Escalation</v>
      </c>
      <c r="H71" s="228">
        <f t="shared" si="8"/>
        <v>0</v>
      </c>
      <c r="I71" s="314">
        <f t="shared" si="9"/>
        <v>8198.2000000000007</v>
      </c>
      <c r="J71" s="314">
        <f t="shared" si="10"/>
        <v>90180.200000000012</v>
      </c>
      <c r="K71" s="316">
        <f>VLOOKUP(B71,CIP_Summary,'CIP Summary'!$G$6,FALSE)</f>
        <v>2022</v>
      </c>
      <c r="L71" s="374">
        <f>IF(B71="repair &amp; replace",VLOOKUP(K71,RR_ENR,2,FALSE),VLOOKUP(B71,CIP_Summary,'CIP Summary'!$H$6,FALSE))</f>
        <v>0</v>
      </c>
      <c r="M71" s="86">
        <f t="shared" si="11"/>
        <v>104543.56787518886</v>
      </c>
      <c r="N71" s="340">
        <f t="shared" si="12"/>
        <v>0</v>
      </c>
      <c r="O71" s="228">
        <f t="shared" si="13"/>
        <v>9503.9607159262596</v>
      </c>
      <c r="P71" s="180">
        <f>IF(B71="Repair &amp; Replace",0,VLOOKUP(B71,CIP_Summary,'CIP Summary'!$M$6,FALSE))</f>
        <v>6</v>
      </c>
      <c r="Q71" s="180">
        <f>IF(B71="repair &amp; replace",RR_Construction,VLOOKUP(B71,CIP_Summary,'CIP Summary'!$N$6,FALSE))</f>
        <v>6</v>
      </c>
      <c r="R71" s="180">
        <f>IF(B71="repair &amp; replace",RR_Float,VLOOKUP(B71,CIP_Summary,'CIP Summary'!$O$6,FALSE))</f>
        <v>3</v>
      </c>
      <c r="S71" s="90">
        <f t="shared" si="14"/>
        <v>2020</v>
      </c>
      <c r="T71" s="90">
        <f t="shared" si="15"/>
        <v>2021</v>
      </c>
    </row>
    <row r="72" spans="1:20" ht="28.2" x14ac:dyDescent="0.3">
      <c r="A72" s="56">
        <v>82</v>
      </c>
      <c r="B72" s="58" t="s">
        <v>71</v>
      </c>
      <c r="C72" s="57" t="s">
        <v>46</v>
      </c>
      <c r="D72" s="59" t="s">
        <v>87</v>
      </c>
      <c r="E72" s="317">
        <v>7011</v>
      </c>
      <c r="F72" s="296" t="s">
        <v>9</v>
      </c>
      <c r="G72" s="228" t="str">
        <f>IF(B72="Repair &amp; Replace",RRCostProjection,VLOOKUP(B72,CIP_Summary,'CIP Summary'!$C$6,FALSE))</f>
        <v>Escalation</v>
      </c>
      <c r="H72" s="228">
        <f t="shared" ref="H72:H103" si="16">IF(F72="Yes",E72*(Design),0)</f>
        <v>0</v>
      </c>
      <c r="I72" s="314">
        <f t="shared" ref="I72:I103" si="17">E72*(Admin)</f>
        <v>701.1</v>
      </c>
      <c r="J72" s="314">
        <f t="shared" ref="J72:J103" si="18">E72*IF(F72="yes",(1+Design+Admin),IF(F72="No",(1+Admin),"Check"))</f>
        <v>7712.1</v>
      </c>
      <c r="K72" s="316">
        <f>VLOOKUP(B72,CIP_Summary,'CIP Summary'!$G$6,FALSE)</f>
        <v>2022</v>
      </c>
      <c r="L72" s="374">
        <f>IF(B72="repair &amp; replace",VLOOKUP(K72,RR_ENR,2,FALSE),VLOOKUP(B72,CIP_Summary,'CIP Summary'!$H$6,FALSE))</f>
        <v>0</v>
      </c>
      <c r="M72" s="86">
        <f t="shared" ref="M72:M103" si="19">IF(G72="Escalation",J72*(Escalation_Rate)^(K72-YEAR(estimate_date)),IF(G72="Revised Estimate",((ENR_Revised/ENR)*J72)*Escalation_Rate^(K72-YEAR(Revised_Estimate_Date)),IF(AND(G72="ENR",L72&gt;0),J72*L72/ENR,"Need ENR @ Project Year")))</f>
        <v>8940.4375884090296</v>
      </c>
      <c r="N72" s="340">
        <f t="shared" ref="N72:N103" si="20">IF(M72="Need ENR @ Project Year",M72,H72*M72/J72)</f>
        <v>0</v>
      </c>
      <c r="O72" s="228">
        <f t="shared" ref="O72:O103" si="21">IF(M72="Need ENR @ Project Year",M72,I72*M72/J72)</f>
        <v>812.76705349172994</v>
      </c>
      <c r="P72" s="180">
        <f>IF(B72="Repair &amp; Replace",0,VLOOKUP(B72,CIP_Summary,'CIP Summary'!$M$6,FALSE))</f>
        <v>6</v>
      </c>
      <c r="Q72" s="180">
        <f>IF(B72="repair &amp; replace",RR_Construction,VLOOKUP(B72,CIP_Summary,'CIP Summary'!$N$6,FALSE))</f>
        <v>6</v>
      </c>
      <c r="R72" s="180">
        <f>IF(B72="repair &amp; replace",RR_Float,VLOOKUP(B72,CIP_Summary,'CIP Summary'!$O$6,FALSE))</f>
        <v>3</v>
      </c>
      <c r="S72" s="90">
        <f t="shared" ref="S72:S103" si="22">ROUNDDOWN(K72-SUM(P72:R72)/12,0)</f>
        <v>2020</v>
      </c>
      <c r="T72" s="90">
        <f t="shared" ref="T72:T103" si="23">ROUNDDOWN(K72-SUM(Q72:R72)/12,0)</f>
        <v>2021</v>
      </c>
    </row>
    <row r="73" spans="1:20" ht="28.2" x14ac:dyDescent="0.3">
      <c r="A73" s="56">
        <v>83</v>
      </c>
      <c r="B73" s="57" t="s">
        <v>96</v>
      </c>
      <c r="C73" s="57" t="s">
        <v>46</v>
      </c>
      <c r="D73" s="57" t="s">
        <v>316</v>
      </c>
      <c r="E73" s="315">
        <f>894504*2/3</f>
        <v>596336</v>
      </c>
      <c r="F73" s="296" t="s">
        <v>9</v>
      </c>
      <c r="G73" s="228" t="str">
        <f>IF(B73="Repair &amp; Replace",RRCostProjection,VLOOKUP(B73,CIP_Summary,'CIP Summary'!$C$6,FALSE))</f>
        <v>Escalation</v>
      </c>
      <c r="H73" s="228">
        <f t="shared" si="16"/>
        <v>0</v>
      </c>
      <c r="I73" s="314">
        <f t="shared" si="17"/>
        <v>59633.600000000006</v>
      </c>
      <c r="J73" s="314">
        <f t="shared" si="18"/>
        <v>655969.60000000009</v>
      </c>
      <c r="K73" s="316">
        <v>2019</v>
      </c>
      <c r="L73" s="374">
        <f>IF(B73="repair &amp; replace",VLOOKUP(K73,RR_ENR,2,FALSE),VLOOKUP(B73,CIP_Summary,'CIP Summary'!$H$6,FALSE))</f>
        <v>0</v>
      </c>
      <c r="M73" s="86">
        <f t="shared" si="19"/>
        <v>695918.14864000003</v>
      </c>
      <c r="N73" s="340">
        <f t="shared" si="20"/>
        <v>0</v>
      </c>
      <c r="O73" s="228">
        <f t="shared" si="21"/>
        <v>63265.286240000001</v>
      </c>
      <c r="P73" s="180">
        <f>IF(B73="Repair &amp; Replace",0,VLOOKUP(B73,CIP_Summary,'CIP Summary'!$M$6,FALSE))</f>
        <v>0</v>
      </c>
      <c r="Q73" s="180">
        <f>IF(B73="repair &amp; replace",RR_Construction,VLOOKUP(B73,CIP_Summary,'CIP Summary'!$N$6,FALSE))</f>
        <v>6</v>
      </c>
      <c r="R73" s="180">
        <f>IF(B73="repair &amp; replace",RR_Float,VLOOKUP(B73,CIP_Summary,'CIP Summary'!$O$6,FALSE))</f>
        <v>6</v>
      </c>
      <c r="S73" s="90">
        <f t="shared" si="22"/>
        <v>2018</v>
      </c>
      <c r="T73" s="90">
        <f t="shared" si="23"/>
        <v>2018</v>
      </c>
    </row>
    <row r="74" spans="1:20" ht="28.2" x14ac:dyDescent="0.3">
      <c r="A74" s="56">
        <v>84</v>
      </c>
      <c r="B74" s="57" t="s">
        <v>96</v>
      </c>
      <c r="C74" s="57" t="s">
        <v>46</v>
      </c>
      <c r="D74" s="57" t="s">
        <v>117</v>
      </c>
      <c r="E74" s="317">
        <v>84000</v>
      </c>
      <c r="F74" s="296" t="s">
        <v>9</v>
      </c>
      <c r="G74" s="228" t="str">
        <f>IF(B74="Repair &amp; Replace",RRCostProjection,VLOOKUP(B74,CIP_Summary,'CIP Summary'!$C$6,FALSE))</f>
        <v>Escalation</v>
      </c>
      <c r="H74" s="228">
        <f t="shared" si="16"/>
        <v>0</v>
      </c>
      <c r="I74" s="314">
        <f t="shared" si="17"/>
        <v>8400</v>
      </c>
      <c r="J74" s="314">
        <f t="shared" si="18"/>
        <v>92400.000000000015</v>
      </c>
      <c r="K74" s="90">
        <v>2027</v>
      </c>
      <c r="L74" s="374">
        <f>IF(B74="repair &amp; replace",VLOOKUP(K74,RR_ENR,2,FALSE),VLOOKUP(B74,CIP_Summary,'CIP Summary'!$H$6,FALSE))</f>
        <v>0</v>
      </c>
      <c r="M74" s="86">
        <f t="shared" si="19"/>
        <v>124177.87345139687</v>
      </c>
      <c r="N74" s="340">
        <f t="shared" si="20"/>
        <v>0</v>
      </c>
      <c r="O74" s="228">
        <f t="shared" si="21"/>
        <v>11288.897586490622</v>
      </c>
      <c r="P74" s="180">
        <f>IF(B74="Repair &amp; Replace",0,VLOOKUP(B74,CIP_Summary,'CIP Summary'!$M$6,FALSE))</f>
        <v>0</v>
      </c>
      <c r="Q74" s="180">
        <f>IF(B74="repair &amp; replace",RR_Construction,VLOOKUP(B74,CIP_Summary,'CIP Summary'!$N$6,FALSE))</f>
        <v>6</v>
      </c>
      <c r="R74" s="180">
        <f>IF(B74="repair &amp; replace",RR_Float,VLOOKUP(B74,CIP_Summary,'CIP Summary'!$O$6,FALSE))</f>
        <v>6</v>
      </c>
      <c r="S74" s="90">
        <f t="shared" si="22"/>
        <v>2026</v>
      </c>
      <c r="T74" s="90">
        <f t="shared" si="23"/>
        <v>2026</v>
      </c>
    </row>
    <row r="75" spans="1:20" ht="28.2" x14ac:dyDescent="0.3">
      <c r="A75" s="56">
        <v>85</v>
      </c>
      <c r="B75" s="57" t="s">
        <v>96</v>
      </c>
      <c r="C75" s="57" t="s">
        <v>46</v>
      </c>
      <c r="D75" s="57" t="s">
        <v>118</v>
      </c>
      <c r="E75" s="317">
        <v>1980000</v>
      </c>
      <c r="F75" s="296" t="s">
        <v>9</v>
      </c>
      <c r="G75" s="228" t="str">
        <f>IF(B75="Repair &amp; Replace",RRCostProjection,VLOOKUP(B75,CIP_Summary,'CIP Summary'!$C$6,FALSE))</f>
        <v>Escalation</v>
      </c>
      <c r="H75" s="228">
        <f t="shared" si="16"/>
        <v>0</v>
      </c>
      <c r="I75" s="314">
        <f t="shared" si="17"/>
        <v>198000</v>
      </c>
      <c r="J75" s="314">
        <f t="shared" si="18"/>
        <v>2178000</v>
      </c>
      <c r="K75" s="325">
        <v>2032</v>
      </c>
      <c r="L75" s="374">
        <f>IF(B75="repair &amp; replace",VLOOKUP(K75,RR_ENR,2,FALSE),VLOOKUP(B75,CIP_Summary,'CIP Summary'!$H$6,FALSE))</f>
        <v>0</v>
      </c>
      <c r="M75" s="86">
        <f t="shared" si="19"/>
        <v>3393253.0333564649</v>
      </c>
      <c r="N75" s="340">
        <f t="shared" si="20"/>
        <v>0</v>
      </c>
      <c r="O75" s="228">
        <f t="shared" si="21"/>
        <v>308477.54848695139</v>
      </c>
      <c r="P75" s="180">
        <f>IF(B75="Repair &amp; Replace",0,VLOOKUP(B75,CIP_Summary,'CIP Summary'!$M$6,FALSE))</f>
        <v>0</v>
      </c>
      <c r="Q75" s="180">
        <f>IF(B75="repair &amp; replace",RR_Construction,VLOOKUP(B75,CIP_Summary,'CIP Summary'!$N$6,FALSE))</f>
        <v>6</v>
      </c>
      <c r="R75" s="180">
        <f>IF(B75="repair &amp; replace",RR_Float,VLOOKUP(B75,CIP_Summary,'CIP Summary'!$O$6,FALSE))</f>
        <v>6</v>
      </c>
      <c r="S75" s="90">
        <f t="shared" si="22"/>
        <v>2031</v>
      </c>
      <c r="T75" s="90">
        <f t="shared" si="23"/>
        <v>2031</v>
      </c>
    </row>
    <row r="76" spans="1:20" ht="42" x14ac:dyDescent="0.3">
      <c r="A76" s="56">
        <v>86</v>
      </c>
      <c r="B76" s="57" t="s">
        <v>138</v>
      </c>
      <c r="C76" s="57" t="s">
        <v>46</v>
      </c>
      <c r="D76" s="57" t="s">
        <v>137</v>
      </c>
      <c r="E76" s="315">
        <v>144364</v>
      </c>
      <c r="F76" s="296" t="s">
        <v>10</v>
      </c>
      <c r="G76" s="228" t="str">
        <f>IF(B76="Repair &amp; Replace",RRCostProjection,VLOOKUP(B76,CIP_Summary,'CIP Summary'!$C$6,FALSE))</f>
        <v>Escalation</v>
      </c>
      <c r="H76" s="228">
        <f t="shared" si="16"/>
        <v>21654.6</v>
      </c>
      <c r="I76" s="314">
        <f t="shared" si="17"/>
        <v>14436.400000000001</v>
      </c>
      <c r="J76" s="314">
        <f t="shared" si="18"/>
        <v>180455</v>
      </c>
      <c r="K76" s="316">
        <f>VLOOKUP(B76,CIP_Summary,'CIP Summary'!$G$6,FALSE)</f>
        <v>2022</v>
      </c>
      <c r="L76" s="374">
        <f>IF(B76="repair &amp; replace",VLOOKUP(K76,RR_ENR,2,FALSE),VLOOKUP(B76,CIP_Summary,'CIP Summary'!$H$6,FALSE))</f>
        <v>0</v>
      </c>
      <c r="M76" s="86">
        <f t="shared" si="19"/>
        <v>209196.80307780649</v>
      </c>
      <c r="N76" s="340">
        <f t="shared" si="20"/>
        <v>25103.616369336778</v>
      </c>
      <c r="O76" s="228">
        <f t="shared" si="21"/>
        <v>16735.74424622452</v>
      </c>
      <c r="P76" s="180">
        <f>IF(B76="Repair &amp; Replace",0,VLOOKUP(B76,CIP_Summary,'CIP Summary'!$M$6,FALSE))</f>
        <v>6</v>
      </c>
      <c r="Q76" s="180">
        <f>IF(B76="repair &amp; replace",RR_Construction,VLOOKUP(B76,CIP_Summary,'CIP Summary'!$N$6,FALSE))</f>
        <v>6</v>
      </c>
      <c r="R76" s="180">
        <f>IF(B76="repair &amp; replace",RR_Float,VLOOKUP(B76,CIP_Summary,'CIP Summary'!$O$6,FALSE))</f>
        <v>3</v>
      </c>
      <c r="S76" s="90">
        <f t="shared" si="22"/>
        <v>2020</v>
      </c>
      <c r="T76" s="90">
        <f t="shared" si="23"/>
        <v>2021</v>
      </c>
    </row>
    <row r="77" spans="1:20" ht="42" x14ac:dyDescent="0.3">
      <c r="A77" s="56">
        <v>87</v>
      </c>
      <c r="B77" s="57" t="s">
        <v>138</v>
      </c>
      <c r="C77" s="57" t="s">
        <v>46</v>
      </c>
      <c r="D77" s="57" t="s">
        <v>139</v>
      </c>
      <c r="E77" s="315">
        <v>125618</v>
      </c>
      <c r="F77" s="296" t="s">
        <v>10</v>
      </c>
      <c r="G77" s="228" t="str">
        <f>IF(B77="Repair &amp; Replace",RRCostProjection,VLOOKUP(B77,CIP_Summary,'CIP Summary'!$C$6,FALSE))</f>
        <v>Escalation</v>
      </c>
      <c r="H77" s="228">
        <f t="shared" si="16"/>
        <v>18842.7</v>
      </c>
      <c r="I77" s="314">
        <f t="shared" si="17"/>
        <v>12561.800000000001</v>
      </c>
      <c r="J77" s="314">
        <f t="shared" si="18"/>
        <v>157022.5</v>
      </c>
      <c r="K77" s="316">
        <f>VLOOKUP(B77,CIP_Summary,'CIP Summary'!$G$6,FALSE)</f>
        <v>2022</v>
      </c>
      <c r="L77" s="374">
        <f>IF(B77="repair &amp; replace",VLOOKUP(K77,RR_ENR,2,FALSE),VLOOKUP(B77,CIP_Summary,'CIP Summary'!$H$6,FALSE))</f>
        <v>0</v>
      </c>
      <c r="M77" s="86">
        <f t="shared" si="19"/>
        <v>182032.11333177172</v>
      </c>
      <c r="N77" s="340">
        <f t="shared" si="20"/>
        <v>21843.853599812606</v>
      </c>
      <c r="O77" s="228">
        <f t="shared" si="21"/>
        <v>14562.569066541737</v>
      </c>
      <c r="P77" s="180">
        <f>IF(B77="Repair &amp; Replace",0,VLOOKUP(B77,CIP_Summary,'CIP Summary'!$M$6,FALSE))</f>
        <v>6</v>
      </c>
      <c r="Q77" s="180">
        <f>IF(B77="repair &amp; replace",RR_Construction,VLOOKUP(B77,CIP_Summary,'CIP Summary'!$N$6,FALSE))</f>
        <v>6</v>
      </c>
      <c r="R77" s="180">
        <f>IF(B77="repair &amp; replace",RR_Float,VLOOKUP(B77,CIP_Summary,'CIP Summary'!$O$6,FALSE))</f>
        <v>3</v>
      </c>
      <c r="S77" s="90">
        <f t="shared" si="22"/>
        <v>2020</v>
      </c>
      <c r="T77" s="90">
        <f t="shared" si="23"/>
        <v>2021</v>
      </c>
    </row>
    <row r="78" spans="1:20" ht="42" x14ac:dyDescent="0.3">
      <c r="A78" s="56">
        <v>88</v>
      </c>
      <c r="B78" s="57" t="s">
        <v>138</v>
      </c>
      <c r="C78" s="57" t="s">
        <v>46</v>
      </c>
      <c r="D78" s="57" t="s">
        <v>140</v>
      </c>
      <c r="E78" s="315">
        <v>12159</v>
      </c>
      <c r="F78" s="296" t="s">
        <v>10</v>
      </c>
      <c r="G78" s="228" t="str">
        <f>IF(B78="Repair &amp; Replace",RRCostProjection,VLOOKUP(B78,CIP_Summary,'CIP Summary'!$C$6,FALSE))</f>
        <v>Escalation</v>
      </c>
      <c r="H78" s="228">
        <f t="shared" si="16"/>
        <v>1823.85</v>
      </c>
      <c r="I78" s="314">
        <f t="shared" si="17"/>
        <v>1215.9000000000001</v>
      </c>
      <c r="J78" s="314">
        <f t="shared" si="18"/>
        <v>15198.75</v>
      </c>
      <c r="K78" s="316">
        <f>VLOOKUP(B78,CIP_Summary,'CIP Summary'!$G$6,FALSE)</f>
        <v>2022</v>
      </c>
      <c r="L78" s="374">
        <f>IF(B78="repair &amp; replace",VLOOKUP(K78,RR_ENR,2,FALSE),VLOOKUP(B78,CIP_Summary,'CIP Summary'!$H$6,FALSE))</f>
        <v>0</v>
      </c>
      <c r="M78" s="86">
        <f t="shared" si="19"/>
        <v>17619.516836767121</v>
      </c>
      <c r="N78" s="340">
        <f t="shared" si="20"/>
        <v>2114.3420204120544</v>
      </c>
      <c r="O78" s="228">
        <f t="shared" si="21"/>
        <v>1409.5613469413699</v>
      </c>
      <c r="P78" s="180">
        <f>IF(B78="Repair &amp; Replace",0,VLOOKUP(B78,CIP_Summary,'CIP Summary'!$M$6,FALSE))</f>
        <v>6</v>
      </c>
      <c r="Q78" s="180">
        <f>IF(B78="repair &amp; replace",RR_Construction,VLOOKUP(B78,CIP_Summary,'CIP Summary'!$N$6,FALSE))</f>
        <v>6</v>
      </c>
      <c r="R78" s="180">
        <f>IF(B78="repair &amp; replace",RR_Float,VLOOKUP(B78,CIP_Summary,'CIP Summary'!$O$6,FALSE))</f>
        <v>3</v>
      </c>
      <c r="S78" s="90">
        <f t="shared" si="22"/>
        <v>2020</v>
      </c>
      <c r="T78" s="90">
        <f t="shared" si="23"/>
        <v>2021</v>
      </c>
    </row>
    <row r="79" spans="1:20" ht="42" x14ac:dyDescent="0.3">
      <c r="A79" s="56">
        <v>89</v>
      </c>
      <c r="B79" s="57" t="s">
        <v>138</v>
      </c>
      <c r="C79" s="57" t="s">
        <v>46</v>
      </c>
      <c r="D79" s="57" t="s">
        <v>141</v>
      </c>
      <c r="E79" s="315">
        <v>87647</v>
      </c>
      <c r="F79" s="296" t="s">
        <v>10</v>
      </c>
      <c r="G79" s="228" t="str">
        <f>IF(B79="Repair &amp; Replace",RRCostProjection,VLOOKUP(B79,CIP_Summary,'CIP Summary'!$C$6,FALSE))</f>
        <v>Escalation</v>
      </c>
      <c r="H79" s="228">
        <f t="shared" si="16"/>
        <v>13147.05</v>
      </c>
      <c r="I79" s="314">
        <f t="shared" si="17"/>
        <v>8764.7000000000007</v>
      </c>
      <c r="J79" s="314">
        <f t="shared" si="18"/>
        <v>109558.75</v>
      </c>
      <c r="K79" s="316">
        <f>VLOOKUP(B79,CIP_Summary,'CIP Summary'!$G$6,FALSE)</f>
        <v>2022</v>
      </c>
      <c r="L79" s="374">
        <f>IF(B79="repair &amp; replace",VLOOKUP(K79,RR_ENR,2,FALSE),VLOOKUP(B79,CIP_Summary,'CIP Summary'!$H$6,FALSE))</f>
        <v>0</v>
      </c>
      <c r="M79" s="86">
        <f t="shared" si="19"/>
        <v>127008.61848771511</v>
      </c>
      <c r="N79" s="340">
        <f t="shared" si="20"/>
        <v>15241.034218525812</v>
      </c>
      <c r="O79" s="228">
        <f t="shared" si="21"/>
        <v>10160.68947901721</v>
      </c>
      <c r="P79" s="180">
        <f>IF(B79="Repair &amp; Replace",0,VLOOKUP(B79,CIP_Summary,'CIP Summary'!$M$6,FALSE))</f>
        <v>6</v>
      </c>
      <c r="Q79" s="180">
        <f>IF(B79="repair &amp; replace",RR_Construction,VLOOKUP(B79,CIP_Summary,'CIP Summary'!$N$6,FALSE))</f>
        <v>6</v>
      </c>
      <c r="R79" s="180">
        <f>IF(B79="repair &amp; replace",RR_Float,VLOOKUP(B79,CIP_Summary,'CIP Summary'!$O$6,FALSE))</f>
        <v>3</v>
      </c>
      <c r="S79" s="90">
        <f t="shared" si="22"/>
        <v>2020</v>
      </c>
      <c r="T79" s="90">
        <f t="shared" si="23"/>
        <v>2021</v>
      </c>
    </row>
    <row r="80" spans="1:20" x14ac:dyDescent="0.3">
      <c r="A80" s="56">
        <v>92</v>
      </c>
      <c r="B80" s="58" t="s">
        <v>96</v>
      </c>
      <c r="C80" s="57" t="s">
        <v>119</v>
      </c>
      <c r="D80" s="58" t="s">
        <v>120</v>
      </c>
      <c r="E80" s="317">
        <v>15000</v>
      </c>
      <c r="F80" s="296" t="s">
        <v>9</v>
      </c>
      <c r="G80" s="228" t="str">
        <f>IF(B80="Repair &amp; Replace",RRCostProjection,VLOOKUP(B80,CIP_Summary,'CIP Summary'!$C$6,FALSE))</f>
        <v>Escalation</v>
      </c>
      <c r="H80" s="228">
        <f t="shared" si="16"/>
        <v>0</v>
      </c>
      <c r="I80" s="314">
        <f t="shared" si="17"/>
        <v>1500</v>
      </c>
      <c r="J80" s="314">
        <f t="shared" si="18"/>
        <v>16500</v>
      </c>
      <c r="K80" s="316">
        <v>2022</v>
      </c>
      <c r="L80" s="374">
        <f>IF(B80="repair &amp; replace",VLOOKUP(K80,RR_ENR,2,FALSE),VLOOKUP(B80,CIP_Summary,'CIP Summary'!$H$6,FALSE))</f>
        <v>0</v>
      </c>
      <c r="M80" s="86">
        <f t="shared" si="19"/>
        <v>19128.022225949997</v>
      </c>
      <c r="N80" s="340">
        <f t="shared" si="20"/>
        <v>0</v>
      </c>
      <c r="O80" s="228">
        <f t="shared" si="21"/>
        <v>1738.9111114499997</v>
      </c>
      <c r="P80" s="180">
        <f>IF(B80="Repair &amp; Replace",0,VLOOKUP(B80,CIP_Summary,'CIP Summary'!$M$6,FALSE))</f>
        <v>0</v>
      </c>
      <c r="Q80" s="180">
        <f>IF(B80="repair &amp; replace",RR_Construction,VLOOKUP(B80,CIP_Summary,'CIP Summary'!$N$6,FALSE))</f>
        <v>6</v>
      </c>
      <c r="R80" s="180">
        <f>IF(B80="repair &amp; replace",RR_Float,VLOOKUP(B80,CIP_Summary,'CIP Summary'!$O$6,FALSE))</f>
        <v>6</v>
      </c>
      <c r="S80" s="90">
        <f t="shared" si="22"/>
        <v>2021</v>
      </c>
      <c r="T80" s="90">
        <f t="shared" si="23"/>
        <v>2021</v>
      </c>
    </row>
    <row r="81" spans="1:20" x14ac:dyDescent="0.3">
      <c r="A81" s="56">
        <v>93</v>
      </c>
      <c r="B81" s="58" t="s">
        <v>96</v>
      </c>
      <c r="C81" s="57" t="s">
        <v>119</v>
      </c>
      <c r="D81" s="58" t="s">
        <v>158</v>
      </c>
      <c r="E81" s="317">
        <v>7000</v>
      </c>
      <c r="F81" s="296" t="s">
        <v>9</v>
      </c>
      <c r="G81" s="228" t="str">
        <f>IF(B81="Repair &amp; Replace",RRCostProjection,VLOOKUP(B81,CIP_Summary,'CIP Summary'!$C$6,FALSE))</f>
        <v>Escalation</v>
      </c>
      <c r="H81" s="228">
        <f t="shared" si="16"/>
        <v>0</v>
      </c>
      <c r="I81" s="314">
        <f t="shared" si="17"/>
        <v>700</v>
      </c>
      <c r="J81" s="314">
        <f t="shared" si="18"/>
        <v>7700.0000000000009</v>
      </c>
      <c r="K81" s="316">
        <v>2020</v>
      </c>
      <c r="L81" s="374">
        <f>IF(B81="repair &amp; replace",VLOOKUP(K81,RR_ENR,2,FALSE),VLOOKUP(B81,CIP_Summary,'CIP Summary'!$H$6,FALSE))</f>
        <v>0</v>
      </c>
      <c r="M81" s="86">
        <f t="shared" si="19"/>
        <v>8413.9979000000003</v>
      </c>
      <c r="N81" s="340">
        <f t="shared" si="20"/>
        <v>0</v>
      </c>
      <c r="O81" s="228">
        <f t="shared" si="21"/>
        <v>764.9088999999999</v>
      </c>
      <c r="P81" s="180">
        <f>IF(B81="Repair &amp; Replace",0,VLOOKUP(B81,CIP_Summary,'CIP Summary'!$M$6,FALSE))</f>
        <v>0</v>
      </c>
      <c r="Q81" s="180">
        <f>IF(B81="repair &amp; replace",RR_Construction,VLOOKUP(B81,CIP_Summary,'CIP Summary'!$N$6,FALSE))</f>
        <v>6</v>
      </c>
      <c r="R81" s="180">
        <f>IF(B81="repair &amp; replace",RR_Float,VLOOKUP(B81,CIP_Summary,'CIP Summary'!$O$6,FALSE))</f>
        <v>6</v>
      </c>
      <c r="S81" s="90">
        <f t="shared" si="22"/>
        <v>2019</v>
      </c>
      <c r="T81" s="90">
        <f t="shared" si="23"/>
        <v>2019</v>
      </c>
    </row>
    <row r="82" spans="1:20" x14ac:dyDescent="0.3">
      <c r="A82" s="56">
        <v>94</v>
      </c>
      <c r="B82" s="58" t="s">
        <v>96</v>
      </c>
      <c r="C82" s="57" t="s">
        <v>119</v>
      </c>
      <c r="D82" s="58" t="s">
        <v>159</v>
      </c>
      <c r="E82" s="317">
        <v>4375</v>
      </c>
      <c r="F82" s="296" t="s">
        <v>9</v>
      </c>
      <c r="G82" s="228" t="str">
        <f>IF(B82="Repair &amp; Replace",RRCostProjection,VLOOKUP(B82,CIP_Summary,'CIP Summary'!$C$6,FALSE))</f>
        <v>Escalation</v>
      </c>
      <c r="H82" s="228">
        <f t="shared" si="16"/>
        <v>0</v>
      </c>
      <c r="I82" s="314">
        <f t="shared" si="17"/>
        <v>437.5</v>
      </c>
      <c r="J82" s="314">
        <f t="shared" si="18"/>
        <v>4812.5</v>
      </c>
      <c r="K82" s="316">
        <v>2020</v>
      </c>
      <c r="L82" s="374">
        <f>IF(B82="repair &amp; replace",VLOOKUP(K82,RR_ENR,2,FALSE),VLOOKUP(B82,CIP_Summary,'CIP Summary'!$H$6,FALSE))</f>
        <v>0</v>
      </c>
      <c r="M82" s="86">
        <f t="shared" si="19"/>
        <v>5258.7486875000004</v>
      </c>
      <c r="N82" s="340">
        <f t="shared" si="20"/>
        <v>0</v>
      </c>
      <c r="O82" s="228">
        <f t="shared" si="21"/>
        <v>478.0680625</v>
      </c>
      <c r="P82" s="180">
        <f>IF(B82="Repair &amp; Replace",0,VLOOKUP(B82,CIP_Summary,'CIP Summary'!$M$6,FALSE))</f>
        <v>0</v>
      </c>
      <c r="Q82" s="180">
        <f>IF(B82="repair &amp; replace",RR_Construction,VLOOKUP(B82,CIP_Summary,'CIP Summary'!$N$6,FALSE))</f>
        <v>6</v>
      </c>
      <c r="R82" s="180">
        <f>IF(B82="repair &amp; replace",RR_Float,VLOOKUP(B82,CIP_Summary,'CIP Summary'!$O$6,FALSE))</f>
        <v>6</v>
      </c>
      <c r="S82" s="90">
        <f t="shared" si="22"/>
        <v>2019</v>
      </c>
      <c r="T82" s="90">
        <f t="shared" si="23"/>
        <v>2019</v>
      </c>
    </row>
    <row r="83" spans="1:20" x14ac:dyDescent="0.3">
      <c r="A83" s="56">
        <v>95</v>
      </c>
      <c r="B83" s="58" t="s">
        <v>96</v>
      </c>
      <c r="C83" s="57" t="s">
        <v>119</v>
      </c>
      <c r="D83" s="58" t="s">
        <v>157</v>
      </c>
      <c r="E83" s="317">
        <v>23500</v>
      </c>
      <c r="F83" s="296" t="s">
        <v>9</v>
      </c>
      <c r="G83" s="228" t="str">
        <f>IF(B83="Repair &amp; Replace",RRCostProjection,VLOOKUP(B83,CIP_Summary,'CIP Summary'!$C$6,FALSE))</f>
        <v>Escalation</v>
      </c>
      <c r="H83" s="228">
        <f t="shared" si="16"/>
        <v>0</v>
      </c>
      <c r="I83" s="314">
        <f t="shared" si="17"/>
        <v>2350</v>
      </c>
      <c r="J83" s="314">
        <f t="shared" si="18"/>
        <v>25850.000000000004</v>
      </c>
      <c r="K83" s="316">
        <v>2020</v>
      </c>
      <c r="L83" s="374">
        <f>IF(B83="repair &amp; replace",VLOOKUP(K83,RR_ENR,2,FALSE),VLOOKUP(B83,CIP_Summary,'CIP Summary'!$H$6,FALSE))</f>
        <v>0</v>
      </c>
      <c r="M83" s="86">
        <f t="shared" si="19"/>
        <v>28246.992950000003</v>
      </c>
      <c r="N83" s="340">
        <f t="shared" si="20"/>
        <v>0</v>
      </c>
      <c r="O83" s="228">
        <f t="shared" si="21"/>
        <v>2567.9084499999999</v>
      </c>
      <c r="P83" s="180">
        <f>IF(B83="Repair &amp; Replace",0,VLOOKUP(B83,CIP_Summary,'CIP Summary'!$M$6,FALSE))</f>
        <v>0</v>
      </c>
      <c r="Q83" s="180">
        <f>IF(B83="repair &amp; replace",RR_Construction,VLOOKUP(B83,CIP_Summary,'CIP Summary'!$N$6,FALSE))</f>
        <v>6</v>
      </c>
      <c r="R83" s="180">
        <f>IF(B83="repair &amp; replace",RR_Float,VLOOKUP(B83,CIP_Summary,'CIP Summary'!$O$6,FALSE))</f>
        <v>6</v>
      </c>
      <c r="S83" s="90">
        <f t="shared" si="22"/>
        <v>2019</v>
      </c>
      <c r="T83" s="90">
        <f t="shared" si="23"/>
        <v>2019</v>
      </c>
    </row>
    <row r="84" spans="1:20" x14ac:dyDescent="0.3">
      <c r="A84" s="56">
        <v>96</v>
      </c>
      <c r="B84" s="58" t="s">
        <v>96</v>
      </c>
      <c r="C84" s="57" t="s">
        <v>119</v>
      </c>
      <c r="D84" s="58" t="s">
        <v>121</v>
      </c>
      <c r="E84" s="317">
        <v>15000</v>
      </c>
      <c r="F84" s="296" t="s">
        <v>9</v>
      </c>
      <c r="G84" s="228" t="str">
        <f>IF(B84="Repair &amp; Replace",RRCostProjection,VLOOKUP(B84,CIP_Summary,'CIP Summary'!$C$6,FALSE))</f>
        <v>Escalation</v>
      </c>
      <c r="H84" s="228">
        <f t="shared" si="16"/>
        <v>0</v>
      </c>
      <c r="I84" s="314">
        <f t="shared" si="17"/>
        <v>1500</v>
      </c>
      <c r="J84" s="314">
        <f t="shared" si="18"/>
        <v>16500</v>
      </c>
      <c r="K84" s="316">
        <v>2022</v>
      </c>
      <c r="L84" s="374">
        <f>IF(B84="repair &amp; replace",VLOOKUP(K84,RR_ENR,2,FALSE),VLOOKUP(B84,CIP_Summary,'CIP Summary'!$H$6,FALSE))</f>
        <v>0</v>
      </c>
      <c r="M84" s="86">
        <f t="shared" si="19"/>
        <v>19128.022225949997</v>
      </c>
      <c r="N84" s="340">
        <f t="shared" si="20"/>
        <v>0</v>
      </c>
      <c r="O84" s="228">
        <f t="shared" si="21"/>
        <v>1738.9111114499997</v>
      </c>
      <c r="P84" s="180">
        <f>IF(B84="Repair &amp; Replace",0,VLOOKUP(B84,CIP_Summary,'CIP Summary'!$M$6,FALSE))</f>
        <v>0</v>
      </c>
      <c r="Q84" s="180">
        <f>IF(B84="repair &amp; replace",RR_Construction,VLOOKUP(B84,CIP_Summary,'CIP Summary'!$N$6,FALSE))</f>
        <v>6</v>
      </c>
      <c r="R84" s="180">
        <f>IF(B84="repair &amp; replace",RR_Float,VLOOKUP(B84,CIP_Summary,'CIP Summary'!$O$6,FALSE))</f>
        <v>6</v>
      </c>
      <c r="S84" s="90">
        <f t="shared" si="22"/>
        <v>2021</v>
      </c>
      <c r="T84" s="90">
        <f t="shared" si="23"/>
        <v>2021</v>
      </c>
    </row>
    <row r="85" spans="1:20" x14ac:dyDescent="0.3">
      <c r="A85" s="56">
        <v>97</v>
      </c>
      <c r="B85" s="58" t="s">
        <v>96</v>
      </c>
      <c r="C85" s="57" t="s">
        <v>119</v>
      </c>
      <c r="D85" s="57" t="s">
        <v>122</v>
      </c>
      <c r="E85" s="317">
        <v>340000</v>
      </c>
      <c r="F85" s="296" t="s">
        <v>9</v>
      </c>
      <c r="G85" s="228" t="str">
        <f>IF(B85="Repair &amp; Replace",RRCostProjection,VLOOKUP(B85,CIP_Summary,'CIP Summary'!$C$6,FALSE))</f>
        <v>Escalation</v>
      </c>
      <c r="H85" s="228">
        <f t="shared" si="16"/>
        <v>0</v>
      </c>
      <c r="I85" s="314">
        <f t="shared" si="17"/>
        <v>34000</v>
      </c>
      <c r="J85" s="314">
        <f t="shared" si="18"/>
        <v>374000.00000000006</v>
      </c>
      <c r="K85" s="316">
        <v>2022</v>
      </c>
      <c r="L85" s="374">
        <f>IF(B85="repair &amp; replace",VLOOKUP(K85,RR_ENR,2,FALSE),VLOOKUP(B85,CIP_Summary,'CIP Summary'!$H$6,FALSE))</f>
        <v>0</v>
      </c>
      <c r="M85" s="86">
        <f t="shared" si="19"/>
        <v>433568.50378820003</v>
      </c>
      <c r="N85" s="340">
        <f t="shared" si="20"/>
        <v>0</v>
      </c>
      <c r="O85" s="228">
        <f t="shared" si="21"/>
        <v>39415.318526199997</v>
      </c>
      <c r="P85" s="180">
        <f>IF(B85="Repair &amp; Replace",0,VLOOKUP(B85,CIP_Summary,'CIP Summary'!$M$6,FALSE))</f>
        <v>0</v>
      </c>
      <c r="Q85" s="180">
        <f>IF(B85="repair &amp; replace",RR_Construction,VLOOKUP(B85,CIP_Summary,'CIP Summary'!$N$6,FALSE))</f>
        <v>6</v>
      </c>
      <c r="R85" s="180">
        <f>IF(B85="repair &amp; replace",RR_Float,VLOOKUP(B85,CIP_Summary,'CIP Summary'!$O$6,FALSE))</f>
        <v>6</v>
      </c>
      <c r="S85" s="90">
        <f t="shared" si="22"/>
        <v>2021</v>
      </c>
      <c r="T85" s="90">
        <f t="shared" si="23"/>
        <v>2021</v>
      </c>
    </row>
    <row r="86" spans="1:20" x14ac:dyDescent="0.3">
      <c r="A86" s="56">
        <v>98</v>
      </c>
      <c r="B86" s="58" t="s">
        <v>96</v>
      </c>
      <c r="C86" s="57" t="s">
        <v>119</v>
      </c>
      <c r="D86" s="57" t="s">
        <v>123</v>
      </c>
      <c r="E86" s="317">
        <v>340000</v>
      </c>
      <c r="F86" s="296" t="s">
        <v>9</v>
      </c>
      <c r="G86" s="228" t="str">
        <f>IF(B86="Repair &amp; Replace",RRCostProjection,VLOOKUP(B86,CIP_Summary,'CIP Summary'!$C$6,FALSE))</f>
        <v>Escalation</v>
      </c>
      <c r="H86" s="228">
        <f t="shared" si="16"/>
        <v>0</v>
      </c>
      <c r="I86" s="314">
        <f t="shared" si="17"/>
        <v>34000</v>
      </c>
      <c r="J86" s="314">
        <f t="shared" si="18"/>
        <v>374000.00000000006</v>
      </c>
      <c r="K86" s="90">
        <v>2027</v>
      </c>
      <c r="L86" s="374">
        <f>IF(B86="repair &amp; replace",VLOOKUP(K86,RR_ENR,2,FALSE),VLOOKUP(B86,CIP_Summary,'CIP Summary'!$H$6,FALSE))</f>
        <v>0</v>
      </c>
      <c r="M86" s="86">
        <f t="shared" si="19"/>
        <v>502624.72587470163</v>
      </c>
      <c r="N86" s="340">
        <f t="shared" si="20"/>
        <v>0</v>
      </c>
      <c r="O86" s="228">
        <f t="shared" si="21"/>
        <v>45693.156897700137</v>
      </c>
      <c r="P86" s="180">
        <f>IF(B86="Repair &amp; Replace",0,VLOOKUP(B86,CIP_Summary,'CIP Summary'!$M$6,FALSE))</f>
        <v>0</v>
      </c>
      <c r="Q86" s="180">
        <f>IF(B86="repair &amp; replace",RR_Construction,VLOOKUP(B86,CIP_Summary,'CIP Summary'!$N$6,FALSE))</f>
        <v>6</v>
      </c>
      <c r="R86" s="180">
        <f>IF(B86="repair &amp; replace",RR_Float,VLOOKUP(B86,CIP_Summary,'CIP Summary'!$O$6,FALSE))</f>
        <v>6</v>
      </c>
      <c r="S86" s="90">
        <f t="shared" si="22"/>
        <v>2026</v>
      </c>
      <c r="T86" s="90">
        <f t="shared" si="23"/>
        <v>2026</v>
      </c>
    </row>
    <row r="87" spans="1:20" ht="42" x14ac:dyDescent="0.3">
      <c r="A87" s="56">
        <v>99</v>
      </c>
      <c r="B87" s="58" t="s">
        <v>218</v>
      </c>
      <c r="C87" s="57" t="s">
        <v>119</v>
      </c>
      <c r="D87" s="58" t="s">
        <v>317</v>
      </c>
      <c r="E87" s="317">
        <v>184250</v>
      </c>
      <c r="F87" s="296" t="s">
        <v>10</v>
      </c>
      <c r="G87" s="228" t="str">
        <f>IF(B87="Repair &amp; Replace",RRCostProjection,VLOOKUP(B87,CIP_Summary,'CIP Summary'!$C$6,FALSE))</f>
        <v>Escalation</v>
      </c>
      <c r="H87" s="228">
        <f t="shared" si="16"/>
        <v>27637.5</v>
      </c>
      <c r="I87" s="314">
        <f t="shared" si="17"/>
        <v>18425</v>
      </c>
      <c r="J87" s="314">
        <f t="shared" si="18"/>
        <v>230312.5</v>
      </c>
      <c r="K87" s="325">
        <v>2019</v>
      </c>
      <c r="L87" s="374">
        <f>IF(B87="repair &amp; replace",VLOOKUP(K87,RR_ENR,2,FALSE),VLOOKUP(B87,CIP_Summary,'CIP Summary'!$H$6,FALSE))</f>
        <v>0</v>
      </c>
      <c r="M87" s="86">
        <f t="shared" si="19"/>
        <v>244338.53125</v>
      </c>
      <c r="N87" s="340">
        <f t="shared" si="20"/>
        <v>29320.623749999999</v>
      </c>
      <c r="O87" s="228">
        <f t="shared" si="21"/>
        <v>19547.0825</v>
      </c>
      <c r="P87" s="180">
        <f>IF(B87="Repair &amp; Replace",0,VLOOKUP(B87,CIP_Summary,'CIP Summary'!$M$6,FALSE))</f>
        <v>12</v>
      </c>
      <c r="Q87" s="180">
        <f>IF(B87="repair &amp; replace",RR_Construction,VLOOKUP(B87,CIP_Summary,'CIP Summary'!$N$6,FALSE))</f>
        <v>18</v>
      </c>
      <c r="R87" s="180">
        <f>IF(B87="repair &amp; replace",RR_Float,VLOOKUP(B87,CIP_Summary,'CIP Summary'!$O$6,FALSE))</f>
        <v>6</v>
      </c>
      <c r="S87" s="90">
        <f t="shared" si="22"/>
        <v>2016</v>
      </c>
      <c r="T87" s="90">
        <f t="shared" si="23"/>
        <v>2017</v>
      </c>
    </row>
    <row r="88" spans="1:20" ht="28.2" x14ac:dyDescent="0.3">
      <c r="A88" s="56">
        <v>100</v>
      </c>
      <c r="B88" s="58" t="s">
        <v>218</v>
      </c>
      <c r="C88" s="57" t="s">
        <v>48</v>
      </c>
      <c r="D88" s="57" t="s">
        <v>49</v>
      </c>
      <c r="E88" s="317">
        <v>73000</v>
      </c>
      <c r="F88" s="296" t="s">
        <v>10</v>
      </c>
      <c r="G88" s="228" t="str">
        <f>IF(B88="Repair &amp; Replace",RRCostProjection,VLOOKUP(B88,CIP_Summary,'CIP Summary'!$C$6,FALSE))</f>
        <v>Escalation</v>
      </c>
      <c r="H88" s="228">
        <f t="shared" si="16"/>
        <v>10950</v>
      </c>
      <c r="I88" s="314">
        <f t="shared" si="17"/>
        <v>7300</v>
      </c>
      <c r="J88" s="314">
        <f t="shared" si="18"/>
        <v>91250</v>
      </c>
      <c r="K88" s="316">
        <f>VLOOKUP(B88,CIP_Summary,'CIP Summary'!$G$6,FALSE)</f>
        <v>2021</v>
      </c>
      <c r="L88" s="374">
        <f>IF(B88="repair &amp; replace",VLOOKUP(K88,RR_ENR,2,FALSE),VLOOKUP(B88,CIP_Summary,'CIP Summary'!$H$6,FALSE))</f>
        <v>0</v>
      </c>
      <c r="M88" s="86">
        <f t="shared" si="19"/>
        <v>102702.67891249999</v>
      </c>
      <c r="N88" s="340">
        <f t="shared" si="20"/>
        <v>12324.321469499999</v>
      </c>
      <c r="O88" s="228">
        <f t="shared" si="21"/>
        <v>8216.2143130000004</v>
      </c>
      <c r="P88" s="180">
        <f>IF(B88="Repair &amp; Replace",0,VLOOKUP(B88,CIP_Summary,'CIP Summary'!$M$6,FALSE))</f>
        <v>12</v>
      </c>
      <c r="Q88" s="180">
        <f>IF(B88="repair &amp; replace",RR_Construction,VLOOKUP(B88,CIP_Summary,'CIP Summary'!$N$6,FALSE))</f>
        <v>18</v>
      </c>
      <c r="R88" s="180">
        <f>IF(B88="repair &amp; replace",RR_Float,VLOOKUP(B88,CIP_Summary,'CIP Summary'!$O$6,FALSE))</f>
        <v>6</v>
      </c>
      <c r="S88" s="90">
        <f t="shared" si="22"/>
        <v>2018</v>
      </c>
      <c r="T88" s="90">
        <f t="shared" si="23"/>
        <v>2019</v>
      </c>
    </row>
    <row r="89" spans="1:20" x14ac:dyDescent="0.3">
      <c r="A89" s="56">
        <v>101</v>
      </c>
      <c r="B89" s="57" t="s">
        <v>219</v>
      </c>
      <c r="C89" s="57" t="s">
        <v>48</v>
      </c>
      <c r="D89" s="57" t="s">
        <v>64</v>
      </c>
      <c r="E89" s="315">
        <v>3420955</v>
      </c>
      <c r="F89" s="296" t="s">
        <v>10</v>
      </c>
      <c r="G89" s="228" t="str">
        <f>IF(B89="Repair &amp; Replace",RRCostProjection,VLOOKUP(B89,CIP_Summary,'CIP Summary'!$C$6,FALSE))</f>
        <v>Escalation</v>
      </c>
      <c r="H89" s="228">
        <f t="shared" si="16"/>
        <v>513143.25</v>
      </c>
      <c r="I89" s="314">
        <f t="shared" si="17"/>
        <v>342095.5</v>
      </c>
      <c r="J89" s="314">
        <f t="shared" si="18"/>
        <v>4276193.75</v>
      </c>
      <c r="K89" s="316">
        <f>VLOOKUP(B89,CIP_Summary,'CIP Summary'!$G$6,FALSE)</f>
        <v>2034</v>
      </c>
      <c r="L89" s="374">
        <f>IF(B89="repair &amp; replace",VLOOKUP(K89,RR_ENR,2,FALSE),VLOOKUP(B89,CIP_Summary,'CIP Summary'!$H$6,FALSE))</f>
        <v>0</v>
      </c>
      <c r="M89" s="86">
        <f t="shared" si="19"/>
        <v>7067896.7148227589</v>
      </c>
      <c r="N89" s="340">
        <f t="shared" si="20"/>
        <v>848147.60577873106</v>
      </c>
      <c r="O89" s="228">
        <f t="shared" si="21"/>
        <v>565431.7371858207</v>
      </c>
      <c r="P89" s="180">
        <f>IF(B89="Repair &amp; Replace",0,VLOOKUP(B89,CIP_Summary,'CIP Summary'!$M$6,FALSE))</f>
        <v>12</v>
      </c>
      <c r="Q89" s="180">
        <f>IF(B89="repair &amp; replace",RR_Construction,VLOOKUP(B89,CIP_Summary,'CIP Summary'!$N$6,FALSE))</f>
        <v>24</v>
      </c>
      <c r="R89" s="180">
        <f>IF(B89="repair &amp; replace",RR_Float,VLOOKUP(B89,CIP_Summary,'CIP Summary'!$O$6,FALSE))</f>
        <v>6</v>
      </c>
      <c r="S89" s="90">
        <f t="shared" si="22"/>
        <v>2030</v>
      </c>
      <c r="T89" s="90">
        <f t="shared" si="23"/>
        <v>2031</v>
      </c>
    </row>
    <row r="90" spans="1:20" ht="42" x14ac:dyDescent="0.3">
      <c r="A90" s="56">
        <v>102</v>
      </c>
      <c r="B90" s="57" t="s">
        <v>71</v>
      </c>
      <c r="C90" s="57" t="s">
        <v>48</v>
      </c>
      <c r="D90" s="57" t="s">
        <v>88</v>
      </c>
      <c r="E90" s="315">
        <v>11809</v>
      </c>
      <c r="F90" s="296" t="s">
        <v>9</v>
      </c>
      <c r="G90" s="228" t="str">
        <f>IF(B90="Repair &amp; Replace",RRCostProjection,VLOOKUP(B90,CIP_Summary,'CIP Summary'!$C$6,FALSE))</f>
        <v>Escalation</v>
      </c>
      <c r="H90" s="228">
        <f t="shared" si="16"/>
        <v>0</v>
      </c>
      <c r="I90" s="314">
        <f t="shared" si="17"/>
        <v>1180.9000000000001</v>
      </c>
      <c r="J90" s="314">
        <f t="shared" si="18"/>
        <v>12989.900000000001</v>
      </c>
      <c r="K90" s="316">
        <f>VLOOKUP(B90,CIP_Summary,'CIP Summary'!$G$6,FALSE)</f>
        <v>2022</v>
      </c>
      <c r="L90" s="374">
        <f>IF(B90="repair &amp; replace",VLOOKUP(K90,RR_ENR,2,FALSE),VLOOKUP(B90,CIP_Summary,'CIP Summary'!$H$6,FALSE))</f>
        <v>0</v>
      </c>
      <c r="M90" s="86">
        <f t="shared" si="19"/>
        <v>15058.854297749569</v>
      </c>
      <c r="N90" s="340">
        <f t="shared" si="20"/>
        <v>0</v>
      </c>
      <c r="O90" s="228">
        <f t="shared" si="21"/>
        <v>1368.9867543408698</v>
      </c>
      <c r="P90" s="180">
        <f>IF(B90="Repair &amp; Replace",0,VLOOKUP(B90,CIP_Summary,'CIP Summary'!$M$6,FALSE))</f>
        <v>6</v>
      </c>
      <c r="Q90" s="180">
        <f>IF(B90="repair &amp; replace",RR_Construction,VLOOKUP(B90,CIP_Summary,'CIP Summary'!$N$6,FALSE))</f>
        <v>6</v>
      </c>
      <c r="R90" s="180">
        <f>IF(B90="repair &amp; replace",RR_Float,VLOOKUP(B90,CIP_Summary,'CIP Summary'!$O$6,FALSE))</f>
        <v>3</v>
      </c>
      <c r="S90" s="90">
        <f t="shared" si="22"/>
        <v>2020</v>
      </c>
      <c r="T90" s="90">
        <f t="shared" si="23"/>
        <v>2021</v>
      </c>
    </row>
    <row r="91" spans="1:20" ht="28.2" x14ac:dyDescent="0.3">
      <c r="A91" s="56">
        <v>103</v>
      </c>
      <c r="B91" s="57" t="s">
        <v>71</v>
      </c>
      <c r="C91" s="57" t="s">
        <v>48</v>
      </c>
      <c r="D91" s="57" t="s">
        <v>70</v>
      </c>
      <c r="E91" s="315">
        <v>6427</v>
      </c>
      <c r="F91" s="296" t="s">
        <v>9</v>
      </c>
      <c r="G91" s="228" t="str">
        <f>IF(B91="Repair &amp; Replace",RRCostProjection,VLOOKUP(B91,CIP_Summary,'CIP Summary'!$C$6,FALSE))</f>
        <v>Escalation</v>
      </c>
      <c r="H91" s="228">
        <f t="shared" si="16"/>
        <v>0</v>
      </c>
      <c r="I91" s="314">
        <f t="shared" si="17"/>
        <v>642.70000000000005</v>
      </c>
      <c r="J91" s="314">
        <f t="shared" si="18"/>
        <v>7069.7000000000007</v>
      </c>
      <c r="K91" s="316">
        <f>VLOOKUP(B91,CIP_Summary,'CIP Summary'!$G$6,FALSE)</f>
        <v>2022</v>
      </c>
      <c r="L91" s="374">
        <f>IF(B91="repair &amp; replace",VLOOKUP(K91,RR_ENR,2,FALSE),VLOOKUP(B91,CIP_Summary,'CIP Summary'!$H$6,FALSE))</f>
        <v>0</v>
      </c>
      <c r="M91" s="86">
        <f t="shared" si="19"/>
        <v>8195.7199230787101</v>
      </c>
      <c r="N91" s="340">
        <f t="shared" si="20"/>
        <v>0</v>
      </c>
      <c r="O91" s="228">
        <f t="shared" si="21"/>
        <v>745.06544755261007</v>
      </c>
      <c r="P91" s="180">
        <f>IF(B91="Repair &amp; Replace",0,VLOOKUP(B91,CIP_Summary,'CIP Summary'!$M$6,FALSE))</f>
        <v>6</v>
      </c>
      <c r="Q91" s="180">
        <f>IF(B91="repair &amp; replace",RR_Construction,VLOOKUP(B91,CIP_Summary,'CIP Summary'!$N$6,FALSE))</f>
        <v>6</v>
      </c>
      <c r="R91" s="180">
        <f>IF(B91="repair &amp; replace",RR_Float,VLOOKUP(B91,CIP_Summary,'CIP Summary'!$O$6,FALSE))</f>
        <v>3</v>
      </c>
      <c r="S91" s="90">
        <f t="shared" si="22"/>
        <v>2020</v>
      </c>
      <c r="T91" s="90">
        <f t="shared" si="23"/>
        <v>2021</v>
      </c>
    </row>
    <row r="92" spans="1:20" ht="42" x14ac:dyDescent="0.3">
      <c r="A92" s="56">
        <v>104</v>
      </c>
      <c r="B92" s="57" t="s">
        <v>71</v>
      </c>
      <c r="C92" s="57" t="s">
        <v>48</v>
      </c>
      <c r="D92" s="57" t="s">
        <v>72</v>
      </c>
      <c r="E92" s="315">
        <v>44468</v>
      </c>
      <c r="F92" s="296" t="s">
        <v>9</v>
      </c>
      <c r="G92" s="228" t="str">
        <f>IF(B92="Repair &amp; Replace",RRCostProjection,VLOOKUP(B92,CIP_Summary,'CIP Summary'!$C$6,FALSE))</f>
        <v>Escalation</v>
      </c>
      <c r="H92" s="228">
        <f t="shared" si="16"/>
        <v>0</v>
      </c>
      <c r="I92" s="314">
        <f t="shared" si="17"/>
        <v>4446.8</v>
      </c>
      <c r="J92" s="314">
        <f t="shared" si="18"/>
        <v>48914.8</v>
      </c>
      <c r="K92" s="316">
        <f>VLOOKUP(B92,CIP_Summary,'CIP Summary'!$G$6,FALSE)</f>
        <v>2022</v>
      </c>
      <c r="L92" s="374">
        <f>IF(B92="repair &amp; replace",VLOOKUP(K92,RR_ENR,2,FALSE),VLOOKUP(B92,CIP_Summary,'CIP Summary'!$H$6,FALSE))</f>
        <v>0</v>
      </c>
      <c r="M92" s="86">
        <f t="shared" si="19"/>
        <v>56705.659489569633</v>
      </c>
      <c r="N92" s="340">
        <f t="shared" si="20"/>
        <v>0</v>
      </c>
      <c r="O92" s="228">
        <f t="shared" si="21"/>
        <v>5155.0599535972387</v>
      </c>
      <c r="P92" s="180">
        <f>IF(B92="Repair &amp; Replace",0,VLOOKUP(B92,CIP_Summary,'CIP Summary'!$M$6,FALSE))</f>
        <v>6</v>
      </c>
      <c r="Q92" s="180">
        <f>IF(B92="repair &amp; replace",RR_Construction,VLOOKUP(B92,CIP_Summary,'CIP Summary'!$N$6,FALSE))</f>
        <v>6</v>
      </c>
      <c r="R92" s="180">
        <f>IF(B92="repair &amp; replace",RR_Float,VLOOKUP(B92,CIP_Summary,'CIP Summary'!$O$6,FALSE))</f>
        <v>3</v>
      </c>
      <c r="S92" s="90">
        <f t="shared" si="22"/>
        <v>2020</v>
      </c>
      <c r="T92" s="90">
        <f t="shared" si="23"/>
        <v>2021</v>
      </c>
    </row>
    <row r="93" spans="1:20" ht="28.2" x14ac:dyDescent="0.3">
      <c r="A93" s="56">
        <v>105</v>
      </c>
      <c r="B93" s="57" t="s">
        <v>71</v>
      </c>
      <c r="C93" s="57" t="s">
        <v>48</v>
      </c>
      <c r="D93" s="57" t="s">
        <v>75</v>
      </c>
      <c r="E93" s="315">
        <v>2425</v>
      </c>
      <c r="F93" s="296" t="s">
        <v>9</v>
      </c>
      <c r="G93" s="228" t="str">
        <f>IF(B93="Repair &amp; Replace",RRCostProjection,VLOOKUP(B93,CIP_Summary,'CIP Summary'!$C$6,FALSE))</f>
        <v>Escalation</v>
      </c>
      <c r="H93" s="228">
        <f t="shared" si="16"/>
        <v>0</v>
      </c>
      <c r="I93" s="314">
        <f t="shared" si="17"/>
        <v>242.5</v>
      </c>
      <c r="J93" s="314">
        <f t="shared" si="18"/>
        <v>2667.5</v>
      </c>
      <c r="K93" s="316">
        <f>VLOOKUP(B93,CIP_Summary,'CIP Summary'!$G$6,FALSE)</f>
        <v>2022</v>
      </c>
      <c r="L93" s="374">
        <f>IF(B93="repair &amp; replace",VLOOKUP(K93,RR_ENR,2,FALSE),VLOOKUP(B93,CIP_Summary,'CIP Summary'!$H$6,FALSE))</f>
        <v>0</v>
      </c>
      <c r="M93" s="86">
        <f t="shared" si="19"/>
        <v>3092.3635931952495</v>
      </c>
      <c r="N93" s="340">
        <f t="shared" si="20"/>
        <v>0</v>
      </c>
      <c r="O93" s="228">
        <f t="shared" si="21"/>
        <v>281.12396301774999</v>
      </c>
      <c r="P93" s="180">
        <f>IF(B93="Repair &amp; Replace",0,VLOOKUP(B93,CIP_Summary,'CIP Summary'!$M$6,FALSE))</f>
        <v>6</v>
      </c>
      <c r="Q93" s="180">
        <f>IF(B93="repair &amp; replace",RR_Construction,VLOOKUP(B93,CIP_Summary,'CIP Summary'!$N$6,FALSE))</f>
        <v>6</v>
      </c>
      <c r="R93" s="180">
        <f>IF(B93="repair &amp; replace",RR_Float,VLOOKUP(B93,CIP_Summary,'CIP Summary'!$O$6,FALSE))</f>
        <v>3</v>
      </c>
      <c r="S93" s="90">
        <f t="shared" si="22"/>
        <v>2020</v>
      </c>
      <c r="T93" s="90">
        <f t="shared" si="23"/>
        <v>2021</v>
      </c>
    </row>
    <row r="94" spans="1:20" ht="28.2" x14ac:dyDescent="0.3">
      <c r="A94" s="56">
        <v>106</v>
      </c>
      <c r="B94" s="58" t="s">
        <v>71</v>
      </c>
      <c r="C94" s="58" t="s">
        <v>48</v>
      </c>
      <c r="D94" s="58" t="s">
        <v>89</v>
      </c>
      <c r="E94" s="315">
        <v>10499</v>
      </c>
      <c r="F94" s="296" t="s">
        <v>9</v>
      </c>
      <c r="G94" s="228" t="str">
        <f>IF(B94="Repair &amp; Replace",RRCostProjection,VLOOKUP(B94,CIP_Summary,'CIP Summary'!$C$6,FALSE))</f>
        <v>Escalation</v>
      </c>
      <c r="H94" s="228">
        <f t="shared" si="16"/>
        <v>0</v>
      </c>
      <c r="I94" s="314">
        <f t="shared" si="17"/>
        <v>1049.9000000000001</v>
      </c>
      <c r="J94" s="314">
        <f t="shared" si="18"/>
        <v>11548.900000000001</v>
      </c>
      <c r="K94" s="316">
        <f>VLOOKUP(B94,CIP_Summary,'CIP Summary'!$G$6,FALSE)</f>
        <v>2022</v>
      </c>
      <c r="L94" s="374">
        <f>IF(B94="repair &amp; replace",VLOOKUP(K94,RR_ENR,2,FALSE),VLOOKUP(B94,CIP_Summary,'CIP Summary'!$H$6,FALSE))</f>
        <v>0</v>
      </c>
      <c r="M94" s="86">
        <f t="shared" si="19"/>
        <v>13388.340356683269</v>
      </c>
      <c r="N94" s="340">
        <f t="shared" si="20"/>
        <v>0</v>
      </c>
      <c r="O94" s="228">
        <f t="shared" si="21"/>
        <v>1217.12185060757</v>
      </c>
      <c r="P94" s="180">
        <f>IF(B94="Repair &amp; Replace",0,VLOOKUP(B94,CIP_Summary,'CIP Summary'!$M$6,FALSE))</f>
        <v>6</v>
      </c>
      <c r="Q94" s="180">
        <f>IF(B94="repair &amp; replace",RR_Construction,VLOOKUP(B94,CIP_Summary,'CIP Summary'!$N$6,FALSE))</f>
        <v>6</v>
      </c>
      <c r="R94" s="180">
        <f>IF(B94="repair &amp; replace",RR_Float,VLOOKUP(B94,CIP_Summary,'CIP Summary'!$O$6,FALSE))</f>
        <v>3</v>
      </c>
      <c r="S94" s="90">
        <f t="shared" si="22"/>
        <v>2020</v>
      </c>
      <c r="T94" s="90">
        <f t="shared" si="23"/>
        <v>2021</v>
      </c>
    </row>
    <row r="95" spans="1:20" ht="28.2" x14ac:dyDescent="0.3">
      <c r="A95" s="56">
        <v>107</v>
      </c>
      <c r="B95" s="58" t="s">
        <v>218</v>
      </c>
      <c r="C95" s="57" t="s">
        <v>14</v>
      </c>
      <c r="D95" s="57" t="s">
        <v>50</v>
      </c>
      <c r="E95" s="317">
        <v>665000</v>
      </c>
      <c r="F95" s="296" t="s">
        <v>10</v>
      </c>
      <c r="G95" s="228" t="str">
        <f>IF(B95="Repair &amp; Replace",RRCostProjection,VLOOKUP(B95,CIP_Summary,'CIP Summary'!$C$6,FALSE))</f>
        <v>Escalation</v>
      </c>
      <c r="H95" s="228">
        <f t="shared" si="16"/>
        <v>99750</v>
      </c>
      <c r="I95" s="314">
        <f t="shared" si="17"/>
        <v>66500</v>
      </c>
      <c r="J95" s="314">
        <f t="shared" si="18"/>
        <v>831250</v>
      </c>
      <c r="K95" s="316">
        <f>VLOOKUP(B95,CIP_Summary,'CIP Summary'!$G$6,FALSE)</f>
        <v>2021</v>
      </c>
      <c r="L95" s="374">
        <f>IF(B95="repair &amp; replace",VLOOKUP(K95,RR_ENR,2,FALSE),VLOOKUP(B95,CIP_Summary,'CIP Summary'!$H$6,FALSE))</f>
        <v>0</v>
      </c>
      <c r="M95" s="86">
        <f t="shared" si="19"/>
        <v>935579.19831249991</v>
      </c>
      <c r="N95" s="340">
        <f t="shared" si="20"/>
        <v>112269.50379749999</v>
      </c>
      <c r="O95" s="228">
        <f t="shared" si="21"/>
        <v>74846.335864999986</v>
      </c>
      <c r="P95" s="180">
        <f>IF(B95="Repair &amp; Replace",0,VLOOKUP(B95,CIP_Summary,'CIP Summary'!$M$6,FALSE))</f>
        <v>12</v>
      </c>
      <c r="Q95" s="180">
        <f>IF(B95="repair &amp; replace",RR_Construction,VLOOKUP(B95,CIP_Summary,'CIP Summary'!$N$6,FALSE))</f>
        <v>18</v>
      </c>
      <c r="R95" s="180">
        <f>IF(B95="repair &amp; replace",RR_Float,VLOOKUP(B95,CIP_Summary,'CIP Summary'!$O$6,FALSE))</f>
        <v>6</v>
      </c>
      <c r="S95" s="90">
        <f t="shared" si="22"/>
        <v>2018</v>
      </c>
      <c r="T95" s="90">
        <f t="shared" si="23"/>
        <v>2019</v>
      </c>
    </row>
    <row r="96" spans="1:20" ht="28.2" x14ac:dyDescent="0.3">
      <c r="A96" s="56">
        <v>108</v>
      </c>
      <c r="B96" s="57" t="s">
        <v>219</v>
      </c>
      <c r="C96" s="57" t="s">
        <v>14</v>
      </c>
      <c r="D96" s="57" t="s">
        <v>310</v>
      </c>
      <c r="E96" s="315">
        <v>1772847</v>
      </c>
      <c r="F96" s="296" t="s">
        <v>10</v>
      </c>
      <c r="G96" s="228" t="str">
        <f>IF(B96="Repair &amp; Replace",RRCostProjection,VLOOKUP(B96,CIP_Summary,'CIP Summary'!$C$6,FALSE))</f>
        <v>Escalation</v>
      </c>
      <c r="H96" s="228">
        <f t="shared" si="16"/>
        <v>265927.05</v>
      </c>
      <c r="I96" s="314">
        <f t="shared" si="17"/>
        <v>177284.7</v>
      </c>
      <c r="J96" s="314">
        <f t="shared" si="18"/>
        <v>2216058.75</v>
      </c>
      <c r="K96" s="316">
        <f>VLOOKUP(B96,CIP_Summary,'CIP Summary'!$G$6,FALSE)</f>
        <v>2034</v>
      </c>
      <c r="L96" s="374">
        <f>IF(B96="repair &amp; replace",VLOOKUP(K96,RR_ENR,2,FALSE),VLOOKUP(B96,CIP_Summary,'CIP Summary'!$H$6,FALSE))</f>
        <v>0</v>
      </c>
      <c r="M96" s="86">
        <f t="shared" si="19"/>
        <v>3662807.4579125955</v>
      </c>
      <c r="N96" s="340">
        <f t="shared" si="20"/>
        <v>439536.89494951145</v>
      </c>
      <c r="O96" s="228">
        <f t="shared" si="21"/>
        <v>293024.59663300763</v>
      </c>
      <c r="P96" s="180">
        <f>IF(B96="Repair &amp; Replace",0,VLOOKUP(B96,CIP_Summary,'CIP Summary'!$M$6,FALSE))</f>
        <v>12</v>
      </c>
      <c r="Q96" s="180">
        <f>IF(B96="repair &amp; replace",RR_Construction,VLOOKUP(B96,CIP_Summary,'CIP Summary'!$N$6,FALSE))</f>
        <v>24</v>
      </c>
      <c r="R96" s="180">
        <f>IF(B96="repair &amp; replace",RR_Float,VLOOKUP(B96,CIP_Summary,'CIP Summary'!$O$6,FALSE))</f>
        <v>6</v>
      </c>
      <c r="S96" s="90">
        <f t="shared" si="22"/>
        <v>2030</v>
      </c>
      <c r="T96" s="90">
        <f t="shared" si="23"/>
        <v>2031</v>
      </c>
    </row>
    <row r="97" spans="1:20" ht="28.2" x14ac:dyDescent="0.3">
      <c r="A97" s="56">
        <v>109</v>
      </c>
      <c r="B97" s="57" t="s">
        <v>96</v>
      </c>
      <c r="C97" s="57" t="s">
        <v>14</v>
      </c>
      <c r="D97" s="58" t="s">
        <v>124</v>
      </c>
      <c r="E97" s="317">
        <v>100000</v>
      </c>
      <c r="F97" s="296" t="s">
        <v>9</v>
      </c>
      <c r="G97" s="228" t="str">
        <f>IF(B97="Repair &amp; Replace",RRCostProjection,VLOOKUP(B97,CIP_Summary,'CIP Summary'!$C$6,FALSE))</f>
        <v>Escalation</v>
      </c>
      <c r="H97" s="228">
        <f t="shared" si="16"/>
        <v>0</v>
      </c>
      <c r="I97" s="314">
        <f t="shared" si="17"/>
        <v>10000</v>
      </c>
      <c r="J97" s="314">
        <f t="shared" si="18"/>
        <v>110000.00000000001</v>
      </c>
      <c r="K97" s="316">
        <v>2020</v>
      </c>
      <c r="L97" s="374">
        <f>IF(B97="repair &amp; replace",VLOOKUP(K97,RR_ENR,2,FALSE),VLOOKUP(B97,CIP_Summary,'CIP Summary'!$H$6,FALSE))</f>
        <v>0</v>
      </c>
      <c r="M97" s="86">
        <f t="shared" si="19"/>
        <v>120199.97000000002</v>
      </c>
      <c r="N97" s="340">
        <f t="shared" si="20"/>
        <v>0</v>
      </c>
      <c r="O97" s="228">
        <f t="shared" si="21"/>
        <v>10927.27</v>
      </c>
      <c r="P97" s="180">
        <f>IF(B97="Repair &amp; Replace",0,VLOOKUP(B97,CIP_Summary,'CIP Summary'!$M$6,FALSE))</f>
        <v>0</v>
      </c>
      <c r="Q97" s="180">
        <f>IF(B97="repair &amp; replace",RR_Construction,VLOOKUP(B97,CIP_Summary,'CIP Summary'!$N$6,FALSE))</f>
        <v>6</v>
      </c>
      <c r="R97" s="180">
        <f>IF(B97="repair &amp; replace",RR_Float,VLOOKUP(B97,CIP_Summary,'CIP Summary'!$O$6,FALSE))</f>
        <v>6</v>
      </c>
      <c r="S97" s="90">
        <f t="shared" si="22"/>
        <v>2019</v>
      </c>
      <c r="T97" s="90">
        <f t="shared" si="23"/>
        <v>2019</v>
      </c>
    </row>
    <row r="98" spans="1:20" ht="28.2" x14ac:dyDescent="0.3">
      <c r="A98" s="56">
        <v>110</v>
      </c>
      <c r="B98" s="57" t="s">
        <v>96</v>
      </c>
      <c r="C98" s="57" t="s">
        <v>14</v>
      </c>
      <c r="D98" s="57" t="s">
        <v>125</v>
      </c>
      <c r="E98" s="317">
        <v>97375</v>
      </c>
      <c r="F98" s="296" t="s">
        <v>9</v>
      </c>
      <c r="G98" s="228" t="str">
        <f>IF(B98="Repair &amp; Replace",RRCostProjection,VLOOKUP(B98,CIP_Summary,'CIP Summary'!$C$6,FALSE))</f>
        <v>Escalation</v>
      </c>
      <c r="H98" s="228">
        <f t="shared" si="16"/>
        <v>0</v>
      </c>
      <c r="I98" s="314">
        <f t="shared" si="17"/>
        <v>9737.5</v>
      </c>
      <c r="J98" s="314">
        <f t="shared" si="18"/>
        <v>107112.50000000001</v>
      </c>
      <c r="K98" s="316">
        <v>2019</v>
      </c>
      <c r="L98" s="374">
        <f>IF(B98="repair &amp; replace",VLOOKUP(K98,RR_ENR,2,FALSE),VLOOKUP(B98,CIP_Summary,'CIP Summary'!$H$6,FALSE))</f>
        <v>0</v>
      </c>
      <c r="M98" s="86">
        <f t="shared" si="19"/>
        <v>113635.65125000001</v>
      </c>
      <c r="N98" s="340">
        <f t="shared" si="20"/>
        <v>0</v>
      </c>
      <c r="O98" s="228">
        <f t="shared" si="21"/>
        <v>10330.513749999998</v>
      </c>
      <c r="P98" s="180">
        <f>IF(B98="Repair &amp; Replace",0,VLOOKUP(B98,CIP_Summary,'CIP Summary'!$M$6,FALSE))</f>
        <v>0</v>
      </c>
      <c r="Q98" s="180">
        <f>IF(B98="repair &amp; replace",RR_Construction,VLOOKUP(B98,CIP_Summary,'CIP Summary'!$N$6,FALSE))</f>
        <v>6</v>
      </c>
      <c r="R98" s="180">
        <f>IF(B98="repair &amp; replace",RR_Float,VLOOKUP(B98,CIP_Summary,'CIP Summary'!$O$6,FALSE))</f>
        <v>6</v>
      </c>
      <c r="S98" s="90">
        <f t="shared" si="22"/>
        <v>2018</v>
      </c>
      <c r="T98" s="90">
        <f t="shared" si="23"/>
        <v>2018</v>
      </c>
    </row>
    <row r="99" spans="1:20" ht="28.2" x14ac:dyDescent="0.3">
      <c r="A99" s="56">
        <v>111</v>
      </c>
      <c r="B99" s="57" t="s">
        <v>96</v>
      </c>
      <c r="C99" s="57" t="s">
        <v>14</v>
      </c>
      <c r="D99" s="57" t="s">
        <v>126</v>
      </c>
      <c r="E99" s="317">
        <v>395000</v>
      </c>
      <c r="F99" s="296" t="s">
        <v>9</v>
      </c>
      <c r="G99" s="228" t="str">
        <f>IF(B99="Repair &amp; Replace",RRCostProjection,VLOOKUP(B99,CIP_Summary,'CIP Summary'!$C$6,FALSE))</f>
        <v>Escalation</v>
      </c>
      <c r="H99" s="228">
        <f t="shared" si="16"/>
        <v>0</v>
      </c>
      <c r="I99" s="314">
        <f t="shared" si="17"/>
        <v>39500</v>
      </c>
      <c r="J99" s="314">
        <f t="shared" si="18"/>
        <v>434500.00000000006</v>
      </c>
      <c r="K99" s="316">
        <v>2027</v>
      </c>
      <c r="L99" s="374">
        <f>IF(B99="repair &amp; replace",VLOOKUP(K99,RR_ENR,2,FALSE),VLOOKUP(B99,CIP_Summary,'CIP Summary'!$H$6,FALSE))</f>
        <v>0</v>
      </c>
      <c r="M99" s="86">
        <f t="shared" si="19"/>
        <v>583931.66682502104</v>
      </c>
      <c r="N99" s="340">
        <f t="shared" si="20"/>
        <v>0</v>
      </c>
      <c r="O99" s="228">
        <f t="shared" si="21"/>
        <v>53084.696984092814</v>
      </c>
      <c r="P99" s="180">
        <f>IF(B99="Repair &amp; Replace",0,VLOOKUP(B99,CIP_Summary,'CIP Summary'!$M$6,FALSE))</f>
        <v>0</v>
      </c>
      <c r="Q99" s="180">
        <f>IF(B99="repair &amp; replace",RR_Construction,VLOOKUP(B99,CIP_Summary,'CIP Summary'!$N$6,FALSE))</f>
        <v>6</v>
      </c>
      <c r="R99" s="180">
        <f>IF(B99="repair &amp; replace",RR_Float,VLOOKUP(B99,CIP_Summary,'CIP Summary'!$O$6,FALSE))</f>
        <v>6</v>
      </c>
      <c r="S99" s="90">
        <f t="shared" si="22"/>
        <v>2026</v>
      </c>
      <c r="T99" s="90">
        <f t="shared" si="23"/>
        <v>2026</v>
      </c>
    </row>
    <row r="100" spans="1:20" ht="28.2" x14ac:dyDescent="0.3">
      <c r="A100" s="56">
        <v>112</v>
      </c>
      <c r="B100" s="58" t="s">
        <v>96</v>
      </c>
      <c r="C100" s="57" t="s">
        <v>14</v>
      </c>
      <c r="D100" s="58" t="s">
        <v>127</v>
      </c>
      <c r="E100" s="317">
        <v>42375</v>
      </c>
      <c r="F100" s="296" t="s">
        <v>9</v>
      </c>
      <c r="G100" s="228" t="str">
        <f>IF(B100="Repair &amp; Replace",RRCostProjection,VLOOKUP(B100,CIP_Summary,'CIP Summary'!$C$6,FALSE))</f>
        <v>Escalation</v>
      </c>
      <c r="H100" s="228">
        <f t="shared" si="16"/>
        <v>0</v>
      </c>
      <c r="I100" s="314">
        <f t="shared" si="17"/>
        <v>4237.5</v>
      </c>
      <c r="J100" s="314">
        <f t="shared" si="18"/>
        <v>46612.500000000007</v>
      </c>
      <c r="K100" s="316">
        <v>2027</v>
      </c>
      <c r="L100" s="374">
        <f>IF(B100="repair &amp; replace",VLOOKUP(K100,RR_ENR,2,FALSE),VLOOKUP(B100,CIP_Summary,'CIP Summary'!$H$6,FALSE))</f>
        <v>0</v>
      </c>
      <c r="M100" s="86">
        <f t="shared" si="19"/>
        <v>62643.302232177884</v>
      </c>
      <c r="N100" s="340">
        <f t="shared" si="20"/>
        <v>0</v>
      </c>
      <c r="O100" s="228">
        <f t="shared" si="21"/>
        <v>5694.8456574707161</v>
      </c>
      <c r="P100" s="180">
        <f>IF(B100="Repair &amp; Replace",0,VLOOKUP(B100,CIP_Summary,'CIP Summary'!$M$6,FALSE))</f>
        <v>0</v>
      </c>
      <c r="Q100" s="180">
        <f>IF(B100="repair &amp; replace",RR_Construction,VLOOKUP(B100,CIP_Summary,'CIP Summary'!$N$6,FALSE))</f>
        <v>6</v>
      </c>
      <c r="R100" s="180">
        <f>IF(B100="repair &amp; replace",RR_Float,VLOOKUP(B100,CIP_Summary,'CIP Summary'!$O$6,FALSE))</f>
        <v>6</v>
      </c>
      <c r="S100" s="90">
        <f t="shared" si="22"/>
        <v>2026</v>
      </c>
      <c r="T100" s="90">
        <f t="shared" si="23"/>
        <v>2026</v>
      </c>
    </row>
    <row r="101" spans="1:20" ht="28.2" x14ac:dyDescent="0.3">
      <c r="A101" s="56">
        <v>113</v>
      </c>
      <c r="B101" s="58" t="s">
        <v>96</v>
      </c>
      <c r="C101" s="58" t="s">
        <v>14</v>
      </c>
      <c r="D101" s="57" t="s">
        <v>311</v>
      </c>
      <c r="E101" s="317">
        <v>682500</v>
      </c>
      <c r="F101" s="296" t="s">
        <v>9</v>
      </c>
      <c r="G101" s="228" t="str">
        <f>IF(B101="Repair &amp; Replace",RRCostProjection,VLOOKUP(B101,CIP_Summary,'CIP Summary'!$C$6,FALSE))</f>
        <v>Escalation</v>
      </c>
      <c r="H101" s="228">
        <f t="shared" si="16"/>
        <v>0</v>
      </c>
      <c r="I101" s="314">
        <f t="shared" si="17"/>
        <v>68250</v>
      </c>
      <c r="J101" s="314">
        <f t="shared" si="18"/>
        <v>750750.00000000012</v>
      </c>
      <c r="K101" s="324">
        <v>2036</v>
      </c>
      <c r="L101" s="374">
        <f>IF(B101="repair &amp; replace",VLOOKUP(K101,RR_ENR,2,FALSE),VLOOKUP(B101,CIP_Summary,'CIP Summary'!$H$6,FALSE))</f>
        <v>0</v>
      </c>
      <c r="M101" s="86">
        <f t="shared" si="19"/>
        <v>1316444.6693476331</v>
      </c>
      <c r="N101" s="340">
        <f t="shared" si="20"/>
        <v>0</v>
      </c>
      <c r="O101" s="228">
        <f t="shared" si="21"/>
        <v>119676.78812251209</v>
      </c>
      <c r="P101" s="180">
        <f>IF(B101="Repair &amp; Replace",0,VLOOKUP(B101,CIP_Summary,'CIP Summary'!$M$6,FALSE))</f>
        <v>0</v>
      </c>
      <c r="Q101" s="180">
        <f>IF(B101="repair &amp; replace",RR_Construction,VLOOKUP(B101,CIP_Summary,'CIP Summary'!$N$6,FALSE))</f>
        <v>6</v>
      </c>
      <c r="R101" s="180">
        <f>IF(B101="repair &amp; replace",RR_Float,VLOOKUP(B101,CIP_Summary,'CIP Summary'!$O$6,FALSE))</f>
        <v>6</v>
      </c>
      <c r="S101" s="90">
        <f t="shared" si="22"/>
        <v>2035</v>
      </c>
      <c r="T101" s="90">
        <f t="shared" si="23"/>
        <v>2035</v>
      </c>
    </row>
    <row r="102" spans="1:20" ht="42" x14ac:dyDescent="0.3">
      <c r="A102" s="56">
        <v>114</v>
      </c>
      <c r="B102" s="58" t="s">
        <v>218</v>
      </c>
      <c r="C102" s="58" t="s">
        <v>51</v>
      </c>
      <c r="D102" s="57" t="s">
        <v>52</v>
      </c>
      <c r="E102" s="315">
        <v>156532</v>
      </c>
      <c r="F102" s="296" t="s">
        <v>10</v>
      </c>
      <c r="G102" s="228" t="str">
        <f>IF(B102="Repair &amp; Replace",RRCostProjection,VLOOKUP(B102,CIP_Summary,'CIP Summary'!$C$6,FALSE))</f>
        <v>Escalation</v>
      </c>
      <c r="H102" s="228">
        <f t="shared" si="16"/>
        <v>23479.8</v>
      </c>
      <c r="I102" s="314">
        <f t="shared" si="17"/>
        <v>15653.2</v>
      </c>
      <c r="J102" s="314">
        <f t="shared" si="18"/>
        <v>195665</v>
      </c>
      <c r="K102" s="316">
        <f>VLOOKUP(B102,CIP_Summary,'CIP Summary'!$G$6,FALSE)</f>
        <v>2021</v>
      </c>
      <c r="L102" s="374">
        <f>IF(B102="repair &amp; replace",VLOOKUP(K102,RR_ENR,2,FALSE),VLOOKUP(B102,CIP_Summary,'CIP Summary'!$H$6,FALSE))</f>
        <v>0</v>
      </c>
      <c r="M102" s="86">
        <f t="shared" si="19"/>
        <v>220222.68130864998</v>
      </c>
      <c r="N102" s="340">
        <f t="shared" si="20"/>
        <v>26426.721757037994</v>
      </c>
      <c r="O102" s="228">
        <f t="shared" si="21"/>
        <v>17617.814504691996</v>
      </c>
      <c r="P102" s="180">
        <f>IF(B102="Repair &amp; Replace",0,VLOOKUP(B102,CIP_Summary,'CIP Summary'!$M$6,FALSE))</f>
        <v>12</v>
      </c>
      <c r="Q102" s="180">
        <f>IF(B102="repair &amp; replace",RR_Construction,VLOOKUP(B102,CIP_Summary,'CIP Summary'!$N$6,FALSE))</f>
        <v>18</v>
      </c>
      <c r="R102" s="180">
        <f>IF(B102="repair &amp; replace",RR_Float,VLOOKUP(B102,CIP_Summary,'CIP Summary'!$O$6,FALSE))</f>
        <v>6</v>
      </c>
      <c r="S102" s="90">
        <f t="shared" si="22"/>
        <v>2018</v>
      </c>
      <c r="T102" s="90">
        <f t="shared" si="23"/>
        <v>2019</v>
      </c>
    </row>
    <row r="103" spans="1:20" ht="42" x14ac:dyDescent="0.3">
      <c r="A103" s="56">
        <v>115</v>
      </c>
      <c r="B103" s="57" t="s">
        <v>71</v>
      </c>
      <c r="C103" s="57" t="s">
        <v>51</v>
      </c>
      <c r="D103" s="57" t="s">
        <v>90</v>
      </c>
      <c r="E103" s="315">
        <v>11827</v>
      </c>
      <c r="F103" s="296" t="s">
        <v>9</v>
      </c>
      <c r="G103" s="228" t="str">
        <f>IF(B103="Repair &amp; Replace",RRCostProjection,VLOOKUP(B103,CIP_Summary,'CIP Summary'!$C$6,FALSE))</f>
        <v>Escalation</v>
      </c>
      <c r="H103" s="228">
        <f t="shared" si="16"/>
        <v>0</v>
      </c>
      <c r="I103" s="314">
        <f t="shared" si="17"/>
        <v>1182.7</v>
      </c>
      <c r="J103" s="314">
        <f t="shared" si="18"/>
        <v>13009.7</v>
      </c>
      <c r="K103" s="316">
        <f>VLOOKUP(B103,CIP_Summary,'CIP Summary'!$G$6,FALSE)</f>
        <v>2022</v>
      </c>
      <c r="L103" s="374">
        <f>IF(B103="repair &amp; replace",VLOOKUP(K103,RR_ENR,2,FALSE),VLOOKUP(B103,CIP_Summary,'CIP Summary'!$H$6,FALSE))</f>
        <v>0</v>
      </c>
      <c r="M103" s="86">
        <f t="shared" si="19"/>
        <v>15081.807924420709</v>
      </c>
      <c r="N103" s="340">
        <f t="shared" si="20"/>
        <v>0</v>
      </c>
      <c r="O103" s="228">
        <f t="shared" si="21"/>
        <v>1371.0734476746097</v>
      </c>
      <c r="P103" s="180">
        <f>IF(B103="Repair &amp; Replace",0,VLOOKUP(B103,CIP_Summary,'CIP Summary'!$M$6,FALSE))</f>
        <v>6</v>
      </c>
      <c r="Q103" s="180">
        <f>IF(B103="repair &amp; replace",RR_Construction,VLOOKUP(B103,CIP_Summary,'CIP Summary'!$N$6,FALSE))</f>
        <v>6</v>
      </c>
      <c r="R103" s="180">
        <f>IF(B103="repair &amp; replace",RR_Float,VLOOKUP(B103,CIP_Summary,'CIP Summary'!$O$6,FALSE))</f>
        <v>3</v>
      </c>
      <c r="S103" s="90">
        <f t="shared" si="22"/>
        <v>2020</v>
      </c>
      <c r="T103" s="90">
        <f t="shared" si="23"/>
        <v>2021</v>
      </c>
    </row>
    <row r="104" spans="1:20" ht="28.2" x14ac:dyDescent="0.3">
      <c r="A104" s="56">
        <v>116</v>
      </c>
      <c r="B104" s="58" t="s">
        <v>71</v>
      </c>
      <c r="C104" s="58" t="s">
        <v>51</v>
      </c>
      <c r="D104" s="59" t="s">
        <v>91</v>
      </c>
      <c r="E104" s="315">
        <v>42284</v>
      </c>
      <c r="F104" s="296" t="s">
        <v>9</v>
      </c>
      <c r="G104" s="228" t="str">
        <f>IF(B104="Repair &amp; Replace",RRCostProjection,VLOOKUP(B104,CIP_Summary,'CIP Summary'!$C$6,FALSE))</f>
        <v>Escalation</v>
      </c>
      <c r="H104" s="228">
        <f t="shared" ref="H104:H135" si="24">IF(F104="Yes",E104*(Design),0)</f>
        <v>0</v>
      </c>
      <c r="I104" s="314">
        <f t="shared" ref="I104:I135" si="25">E104*(Admin)</f>
        <v>4228.4000000000005</v>
      </c>
      <c r="J104" s="314">
        <f t="shared" ref="J104:J135" si="26">E104*IF(F104="yes",(1+Design+Admin),IF(F104="No",(1+Admin),"Check"))</f>
        <v>46512.4</v>
      </c>
      <c r="K104" s="316">
        <f>VLOOKUP(B104,CIP_Summary,'CIP Summary'!$G$6,FALSE)</f>
        <v>2022</v>
      </c>
      <c r="L104" s="374">
        <f>IF(B104="repair &amp; replace",VLOOKUP(K104,RR_ENR,2,FALSE),VLOOKUP(B104,CIP_Summary,'CIP Summary'!$H$6,FALSE))</f>
        <v>0</v>
      </c>
      <c r="M104" s="86">
        <f t="shared" ref="M104:M135" si="27">IF(G104="Escalation",J104*(Escalation_Rate)^(K104-YEAR(estimate_date)),IF(G104="Revised Estimate",((ENR_Revised/ENR)*J104)*Escalation_Rate^(K104-YEAR(Revised_Estimate_Date)),IF(AND(G104="ENR",L104&gt;0),J104*L104/ENR,"Need ENR @ Project Year")))</f>
        <v>53920.619453471314</v>
      </c>
      <c r="N104" s="340">
        <f t="shared" ref="N104:N135" si="28">IF(M104="Need ENR @ Project Year",M104,H104*M104/J104)</f>
        <v>0</v>
      </c>
      <c r="O104" s="228">
        <f t="shared" ref="O104:O135" si="29">IF(M104="Need ENR @ Project Year",M104,I104*M104/J104)</f>
        <v>4901.8744957701201</v>
      </c>
      <c r="P104" s="180">
        <f>IF(B104="Repair &amp; Replace",0,VLOOKUP(B104,CIP_Summary,'CIP Summary'!$M$6,FALSE))</f>
        <v>6</v>
      </c>
      <c r="Q104" s="180">
        <f>IF(B104="repair &amp; replace",RR_Construction,VLOOKUP(B104,CIP_Summary,'CIP Summary'!$N$6,FALSE))</f>
        <v>6</v>
      </c>
      <c r="R104" s="180">
        <f>IF(B104="repair &amp; replace",RR_Float,VLOOKUP(B104,CIP_Summary,'CIP Summary'!$O$6,FALSE))</f>
        <v>3</v>
      </c>
      <c r="S104" s="90">
        <f t="shared" ref="S104:S135" si="30">ROUNDDOWN(K104-SUM(P104:R104)/12,0)</f>
        <v>2020</v>
      </c>
      <c r="T104" s="90">
        <f t="shared" ref="T104:T135" si="31">ROUNDDOWN(K104-SUM(Q104:R104)/12,0)</f>
        <v>2021</v>
      </c>
    </row>
    <row r="105" spans="1:20" ht="28.2" x14ac:dyDescent="0.3">
      <c r="A105" s="56">
        <v>117</v>
      </c>
      <c r="B105" s="57" t="s">
        <v>96</v>
      </c>
      <c r="C105" s="57" t="s">
        <v>51</v>
      </c>
      <c r="D105" s="57" t="s">
        <v>128</v>
      </c>
      <c r="E105" s="317">
        <v>662400</v>
      </c>
      <c r="F105" s="296" t="s">
        <v>9</v>
      </c>
      <c r="G105" s="228" t="str">
        <f>IF(B105="Repair &amp; Replace",RRCostProjection,VLOOKUP(B105,CIP_Summary,'CIP Summary'!$C$6,FALSE))</f>
        <v>Escalation</v>
      </c>
      <c r="H105" s="228">
        <f t="shared" si="24"/>
        <v>0</v>
      </c>
      <c r="I105" s="314">
        <f t="shared" si="25"/>
        <v>66240</v>
      </c>
      <c r="J105" s="314">
        <f t="shared" si="26"/>
        <v>728640.00000000012</v>
      </c>
      <c r="K105" s="325">
        <v>2019</v>
      </c>
      <c r="L105" s="374">
        <f>IF(B105="repair &amp; replace",VLOOKUP(K105,RR_ENR,2,FALSE),VLOOKUP(B105,CIP_Summary,'CIP Summary'!$H$6,FALSE))</f>
        <v>0</v>
      </c>
      <c r="M105" s="86">
        <f t="shared" si="27"/>
        <v>773014.17600000009</v>
      </c>
      <c r="N105" s="340">
        <f t="shared" si="28"/>
        <v>0</v>
      </c>
      <c r="O105" s="228">
        <f t="shared" si="29"/>
        <v>70274.016000000003</v>
      </c>
      <c r="P105" s="180">
        <f>IF(B105="Repair &amp; Replace",0,VLOOKUP(B105,CIP_Summary,'CIP Summary'!$M$6,FALSE))</f>
        <v>0</v>
      </c>
      <c r="Q105" s="180">
        <f>IF(B105="repair &amp; replace",RR_Construction,VLOOKUP(B105,CIP_Summary,'CIP Summary'!$N$6,FALSE))</f>
        <v>6</v>
      </c>
      <c r="R105" s="180">
        <f>IF(B105="repair &amp; replace",RR_Float,VLOOKUP(B105,CIP_Summary,'CIP Summary'!$O$6,FALSE))</f>
        <v>6</v>
      </c>
      <c r="S105" s="90">
        <f t="shared" si="30"/>
        <v>2018</v>
      </c>
      <c r="T105" s="90">
        <f t="shared" si="31"/>
        <v>2018</v>
      </c>
    </row>
    <row r="106" spans="1:20" ht="28.2" x14ac:dyDescent="0.3">
      <c r="A106" s="56">
        <v>118</v>
      </c>
      <c r="B106" s="57" t="s">
        <v>219</v>
      </c>
      <c r="C106" s="57" t="s">
        <v>65</v>
      </c>
      <c r="D106" s="57" t="s">
        <v>66</v>
      </c>
      <c r="E106" s="315">
        <v>1665316</v>
      </c>
      <c r="F106" s="296" t="s">
        <v>10</v>
      </c>
      <c r="G106" s="228" t="str">
        <f>IF(B106="Repair &amp; Replace",RRCostProjection,VLOOKUP(B106,CIP_Summary,'CIP Summary'!$C$6,FALSE))</f>
        <v>Escalation</v>
      </c>
      <c r="H106" s="228">
        <f t="shared" si="24"/>
        <v>249797.4</v>
      </c>
      <c r="I106" s="314">
        <f t="shared" si="25"/>
        <v>166531.6</v>
      </c>
      <c r="J106" s="314">
        <f t="shared" si="26"/>
        <v>2081645</v>
      </c>
      <c r="K106" s="316">
        <f>VLOOKUP(B106,CIP_Summary,'CIP Summary'!$G$6,FALSE)</f>
        <v>2034</v>
      </c>
      <c r="L106" s="374">
        <f>IF(B106="repair &amp; replace",VLOOKUP(K106,RR_ENR,2,FALSE),VLOOKUP(B106,CIP_Summary,'CIP Summary'!$H$6,FALSE))</f>
        <v>0</v>
      </c>
      <c r="M106" s="86">
        <f t="shared" si="27"/>
        <v>3440642.0094803283</v>
      </c>
      <c r="N106" s="340">
        <f t="shared" si="28"/>
        <v>412877.04113763937</v>
      </c>
      <c r="O106" s="228">
        <f t="shared" si="29"/>
        <v>275251.36075842625</v>
      </c>
      <c r="P106" s="180">
        <f>IF(B106="Repair &amp; Replace",0,VLOOKUP(B106,CIP_Summary,'CIP Summary'!$M$6,FALSE))</f>
        <v>12</v>
      </c>
      <c r="Q106" s="180">
        <f>IF(B106="repair &amp; replace",RR_Construction,VLOOKUP(B106,CIP_Summary,'CIP Summary'!$N$6,FALSE))</f>
        <v>24</v>
      </c>
      <c r="R106" s="180">
        <f>IF(B106="repair &amp; replace",RR_Float,VLOOKUP(B106,CIP_Summary,'CIP Summary'!$O$6,FALSE))</f>
        <v>6</v>
      </c>
      <c r="S106" s="90">
        <f t="shared" si="30"/>
        <v>2030</v>
      </c>
      <c r="T106" s="90">
        <f t="shared" si="31"/>
        <v>2031</v>
      </c>
    </row>
    <row r="107" spans="1:20" ht="28.2" x14ac:dyDescent="0.3">
      <c r="A107" s="56">
        <v>119</v>
      </c>
      <c r="B107" s="57" t="s">
        <v>71</v>
      </c>
      <c r="C107" s="57" t="s">
        <v>65</v>
      </c>
      <c r="D107" s="57" t="s">
        <v>92</v>
      </c>
      <c r="E107" s="315">
        <v>8855</v>
      </c>
      <c r="F107" s="296" t="s">
        <v>9</v>
      </c>
      <c r="G107" s="228" t="str">
        <f>IF(B107="Repair &amp; Replace",RRCostProjection,VLOOKUP(B107,CIP_Summary,'CIP Summary'!$C$6,FALSE))</f>
        <v>Escalation</v>
      </c>
      <c r="H107" s="228">
        <f t="shared" si="24"/>
        <v>0</v>
      </c>
      <c r="I107" s="314">
        <f t="shared" si="25"/>
        <v>885.5</v>
      </c>
      <c r="J107" s="314">
        <f t="shared" si="26"/>
        <v>9740.5</v>
      </c>
      <c r="K107" s="316">
        <f>VLOOKUP(B107,CIP_Summary,'CIP Summary'!$G$6,FALSE)</f>
        <v>2022</v>
      </c>
      <c r="L107" s="374">
        <f>IF(B107="repair &amp; replace",VLOOKUP(K107,RR_ENR,2,FALSE),VLOOKUP(B107,CIP_Summary,'CIP Summary'!$H$6,FALSE))</f>
        <v>0</v>
      </c>
      <c r="M107" s="86">
        <f t="shared" si="27"/>
        <v>11291.909120719149</v>
      </c>
      <c r="N107" s="340">
        <f t="shared" si="28"/>
        <v>0</v>
      </c>
      <c r="O107" s="228">
        <f t="shared" si="29"/>
        <v>1026.5371927926499</v>
      </c>
      <c r="P107" s="180">
        <f>IF(B107="Repair &amp; Replace",0,VLOOKUP(B107,CIP_Summary,'CIP Summary'!$M$6,FALSE))</f>
        <v>6</v>
      </c>
      <c r="Q107" s="180">
        <f>IF(B107="repair &amp; replace",RR_Construction,VLOOKUP(B107,CIP_Summary,'CIP Summary'!$N$6,FALSE))</f>
        <v>6</v>
      </c>
      <c r="R107" s="180">
        <f>IF(B107="repair &amp; replace",RR_Float,VLOOKUP(B107,CIP_Summary,'CIP Summary'!$O$6,FALSE))</f>
        <v>3</v>
      </c>
      <c r="S107" s="90">
        <f>ROUNDDOWN(K107-SUM(P107:R107)/12,0)</f>
        <v>2020</v>
      </c>
      <c r="T107" s="90">
        <f t="shared" si="31"/>
        <v>2021</v>
      </c>
    </row>
    <row r="108" spans="1:20" ht="28.2" x14ac:dyDescent="0.3">
      <c r="A108" s="56">
        <v>120</v>
      </c>
      <c r="B108" s="57" t="s">
        <v>96</v>
      </c>
      <c r="C108" s="57" t="s">
        <v>65</v>
      </c>
      <c r="D108" s="57" t="s">
        <v>129</v>
      </c>
      <c r="E108" s="317">
        <v>87000</v>
      </c>
      <c r="F108" s="296" t="s">
        <v>9</v>
      </c>
      <c r="G108" s="228" t="str">
        <f>IF(B108="Repair &amp; Replace",RRCostProjection,VLOOKUP(B108,CIP_Summary,'CIP Summary'!$C$6,FALSE))</f>
        <v>Escalation</v>
      </c>
      <c r="H108" s="228">
        <f t="shared" si="24"/>
        <v>0</v>
      </c>
      <c r="I108" s="314">
        <f t="shared" si="25"/>
        <v>8700</v>
      </c>
      <c r="J108" s="314">
        <f t="shared" si="26"/>
        <v>95700.000000000015</v>
      </c>
      <c r="K108" s="316">
        <v>2022</v>
      </c>
      <c r="L108" s="374">
        <f>IF(B108="repair &amp; replace",VLOOKUP(K108,RR_ENR,2,FALSE),VLOOKUP(B108,CIP_Summary,'CIP Summary'!$H$6,FALSE))</f>
        <v>0</v>
      </c>
      <c r="M108" s="86">
        <f t="shared" si="27"/>
        <v>110942.52891051001</v>
      </c>
      <c r="N108" s="340">
        <f t="shared" si="28"/>
        <v>0</v>
      </c>
      <c r="O108" s="228">
        <f t="shared" si="29"/>
        <v>10085.68444641</v>
      </c>
      <c r="P108" s="180">
        <f>IF(B108="Repair &amp; Replace",0,VLOOKUP(B108,CIP_Summary,'CIP Summary'!$M$6,FALSE))</f>
        <v>0</v>
      </c>
      <c r="Q108" s="180">
        <f>IF(B108="repair &amp; replace",RR_Construction,VLOOKUP(B108,CIP_Summary,'CIP Summary'!$N$6,FALSE))</f>
        <v>6</v>
      </c>
      <c r="R108" s="180">
        <f>IF(B108="repair &amp; replace",RR_Float,VLOOKUP(B108,CIP_Summary,'CIP Summary'!$O$6,FALSE))</f>
        <v>6</v>
      </c>
      <c r="S108" s="90">
        <f t="shared" si="30"/>
        <v>2021</v>
      </c>
      <c r="T108" s="90">
        <f t="shared" si="31"/>
        <v>2021</v>
      </c>
    </row>
    <row r="109" spans="1:20" x14ac:dyDescent="0.3">
      <c r="A109" s="56">
        <v>121</v>
      </c>
      <c r="B109" s="57" t="s">
        <v>96</v>
      </c>
      <c r="C109" s="57" t="s">
        <v>65</v>
      </c>
      <c r="D109" s="57" t="s">
        <v>160</v>
      </c>
      <c r="E109" s="317">
        <v>3500000</v>
      </c>
      <c r="F109" s="296" t="s">
        <v>9</v>
      </c>
      <c r="G109" s="228" t="str">
        <f>IF(B109="Repair &amp; Replace",RRCostProjection,VLOOKUP(B109,CIP_Summary,'CIP Summary'!$C$6,FALSE))</f>
        <v>Escalation</v>
      </c>
      <c r="H109" s="228">
        <f t="shared" si="24"/>
        <v>0</v>
      </c>
      <c r="I109" s="314">
        <f t="shared" si="25"/>
        <v>350000</v>
      </c>
      <c r="J109" s="314">
        <f t="shared" si="26"/>
        <v>3850000.0000000005</v>
      </c>
      <c r="K109" s="316">
        <v>2027</v>
      </c>
      <c r="L109" s="374">
        <f>IF(B109="repair &amp; replace",VLOOKUP(K109,RR_ENR,2,FALSE),VLOOKUP(B109,CIP_Summary,'CIP Summary'!$H$6,FALSE))</f>
        <v>0</v>
      </c>
      <c r="M109" s="86">
        <f t="shared" si="27"/>
        <v>5174078.0604748698</v>
      </c>
      <c r="N109" s="340">
        <f t="shared" si="28"/>
        <v>0</v>
      </c>
      <c r="O109" s="228">
        <f t="shared" si="29"/>
        <v>470370.73277044261</v>
      </c>
      <c r="P109" s="180">
        <f>IF(B109="Repair &amp; Replace",0,VLOOKUP(B109,CIP_Summary,'CIP Summary'!$M$6,FALSE))</f>
        <v>0</v>
      </c>
      <c r="Q109" s="180">
        <f>IF(B109="repair &amp; replace",RR_Construction,VLOOKUP(B109,CIP_Summary,'CIP Summary'!$N$6,FALSE))</f>
        <v>6</v>
      </c>
      <c r="R109" s="180">
        <f>IF(B109="repair &amp; replace",RR_Float,VLOOKUP(B109,CIP_Summary,'CIP Summary'!$O$6,FALSE))</f>
        <v>6</v>
      </c>
      <c r="S109" s="90">
        <f t="shared" si="30"/>
        <v>2026</v>
      </c>
      <c r="T109" s="90">
        <f t="shared" si="31"/>
        <v>2026</v>
      </c>
    </row>
    <row r="110" spans="1:20" x14ac:dyDescent="0.3">
      <c r="A110" s="56">
        <v>122</v>
      </c>
      <c r="B110" s="57" t="s">
        <v>96</v>
      </c>
      <c r="C110" s="57" t="s">
        <v>65</v>
      </c>
      <c r="D110" s="58" t="s">
        <v>130</v>
      </c>
      <c r="E110" s="317">
        <v>84000</v>
      </c>
      <c r="F110" s="296" t="s">
        <v>9</v>
      </c>
      <c r="G110" s="228" t="str">
        <f>IF(B110="Repair &amp; Replace",RRCostProjection,VLOOKUP(B110,CIP_Summary,'CIP Summary'!$C$6,FALSE))</f>
        <v>Escalation</v>
      </c>
      <c r="H110" s="228">
        <f t="shared" si="24"/>
        <v>0</v>
      </c>
      <c r="I110" s="314">
        <f t="shared" si="25"/>
        <v>8400</v>
      </c>
      <c r="J110" s="314">
        <f t="shared" si="26"/>
        <v>92400.000000000015</v>
      </c>
      <c r="K110" s="316">
        <v>2027</v>
      </c>
      <c r="L110" s="374">
        <f>IF(B110="repair &amp; replace",VLOOKUP(K110,RR_ENR,2,FALSE),VLOOKUP(B110,CIP_Summary,'CIP Summary'!$H$6,FALSE))</f>
        <v>0</v>
      </c>
      <c r="M110" s="86">
        <f t="shared" si="27"/>
        <v>124177.87345139687</v>
      </c>
      <c r="N110" s="340">
        <f t="shared" si="28"/>
        <v>0</v>
      </c>
      <c r="O110" s="228">
        <f t="shared" si="29"/>
        <v>11288.897586490622</v>
      </c>
      <c r="P110" s="180">
        <f>IF(B110="Repair &amp; Replace",0,VLOOKUP(B110,CIP_Summary,'CIP Summary'!$M$6,FALSE))</f>
        <v>0</v>
      </c>
      <c r="Q110" s="180">
        <f>IF(B110="repair &amp; replace",RR_Construction,VLOOKUP(B110,CIP_Summary,'CIP Summary'!$N$6,FALSE))</f>
        <v>6</v>
      </c>
      <c r="R110" s="180">
        <f>IF(B110="repair &amp; replace",RR_Float,VLOOKUP(B110,CIP_Summary,'CIP Summary'!$O$6,FALSE))</f>
        <v>6</v>
      </c>
      <c r="S110" s="90">
        <f t="shared" si="30"/>
        <v>2026</v>
      </c>
      <c r="T110" s="90">
        <f t="shared" si="31"/>
        <v>2026</v>
      </c>
    </row>
    <row r="111" spans="1:20" x14ac:dyDescent="0.3">
      <c r="A111" s="56">
        <v>123</v>
      </c>
      <c r="B111" s="57" t="s">
        <v>96</v>
      </c>
      <c r="C111" s="57" t="s">
        <v>65</v>
      </c>
      <c r="D111" s="57" t="s">
        <v>131</v>
      </c>
      <c r="E111" s="315">
        <v>316059</v>
      </c>
      <c r="F111" s="296" t="s">
        <v>9</v>
      </c>
      <c r="G111" s="228" t="str">
        <f>IF(B111="Repair &amp; Replace",RRCostProjection,VLOOKUP(B111,CIP_Summary,'CIP Summary'!$C$6,FALSE))</f>
        <v>Escalation</v>
      </c>
      <c r="H111" s="228">
        <f t="shared" si="24"/>
        <v>0</v>
      </c>
      <c r="I111" s="314">
        <f t="shared" si="25"/>
        <v>31605.9</v>
      </c>
      <c r="J111" s="314">
        <f t="shared" si="26"/>
        <v>347664.9</v>
      </c>
      <c r="K111" s="325">
        <v>2036</v>
      </c>
      <c r="L111" s="374">
        <f>IF(B111="repair &amp; replace",VLOOKUP(K111,RR_ENR,2,FALSE),VLOOKUP(B111,CIP_Summary,'CIP Summary'!$H$6,FALSE))</f>
        <v>0</v>
      </c>
      <c r="M111" s="86">
        <f t="shared" si="27"/>
        <v>609632.50659244484</v>
      </c>
      <c r="N111" s="340">
        <f t="shared" si="28"/>
        <v>0</v>
      </c>
      <c r="O111" s="228">
        <f t="shared" si="29"/>
        <v>55421.136962949531</v>
      </c>
      <c r="P111" s="180">
        <f>IF(B111="Repair &amp; Replace",0,VLOOKUP(B111,CIP_Summary,'CIP Summary'!$M$6,FALSE))</f>
        <v>0</v>
      </c>
      <c r="Q111" s="180">
        <f>IF(B111="repair &amp; replace",RR_Construction,VLOOKUP(B111,CIP_Summary,'CIP Summary'!$N$6,FALSE))</f>
        <v>6</v>
      </c>
      <c r="R111" s="180">
        <f>IF(B111="repair &amp; replace",RR_Float,VLOOKUP(B111,CIP_Summary,'CIP Summary'!$O$6,FALSE))</f>
        <v>6</v>
      </c>
      <c r="S111" s="90">
        <f t="shared" si="30"/>
        <v>2035</v>
      </c>
      <c r="T111" s="90">
        <f t="shared" si="31"/>
        <v>2035</v>
      </c>
    </row>
    <row r="112" spans="1:20" ht="42" customHeight="1" x14ac:dyDescent="0.3">
      <c r="A112" s="56">
        <v>124</v>
      </c>
      <c r="B112" s="57" t="s">
        <v>138</v>
      </c>
      <c r="C112" s="57" t="s">
        <v>65</v>
      </c>
      <c r="D112" s="57" t="s">
        <v>142</v>
      </c>
      <c r="E112" s="315">
        <v>47722</v>
      </c>
      <c r="F112" s="296" t="s">
        <v>10</v>
      </c>
      <c r="G112" s="228" t="str">
        <f>IF(B112="Repair &amp; Replace",RRCostProjection,VLOOKUP(B112,CIP_Summary,'CIP Summary'!$C$6,FALSE))</f>
        <v>Escalation</v>
      </c>
      <c r="H112" s="228">
        <f t="shared" si="24"/>
        <v>7158.3</v>
      </c>
      <c r="I112" s="314">
        <f t="shared" si="25"/>
        <v>4772.2</v>
      </c>
      <c r="J112" s="314">
        <f t="shared" si="26"/>
        <v>59652.5</v>
      </c>
      <c r="K112" s="316">
        <f>VLOOKUP(B112,CIP_Summary,'CIP Summary'!$G$6,FALSE)</f>
        <v>2022</v>
      </c>
      <c r="L112" s="374">
        <f>IF(B112="repair &amp; replace",VLOOKUP(K112,RR_ENR,2,FALSE),VLOOKUP(B112,CIP_Summary,'CIP Summary'!$H$6,FALSE))</f>
        <v>0</v>
      </c>
      <c r="M112" s="86">
        <f t="shared" si="27"/>
        <v>69153.596717180742</v>
      </c>
      <c r="N112" s="340">
        <f t="shared" si="28"/>
        <v>8298.4316060616893</v>
      </c>
      <c r="O112" s="228">
        <f t="shared" si="29"/>
        <v>5532.2877373744595</v>
      </c>
      <c r="P112" s="180">
        <f>IF(B112="Repair &amp; Replace",0,VLOOKUP(B112,CIP_Summary,'CIP Summary'!$M$6,FALSE))</f>
        <v>6</v>
      </c>
      <c r="Q112" s="180">
        <f>IF(B112="repair &amp; replace",RR_Construction,VLOOKUP(B112,CIP_Summary,'CIP Summary'!$N$6,FALSE))</f>
        <v>6</v>
      </c>
      <c r="R112" s="180">
        <f>IF(B112="repair &amp; replace",RR_Float,VLOOKUP(B112,CIP_Summary,'CIP Summary'!$O$6,FALSE))</f>
        <v>3</v>
      </c>
      <c r="S112" s="90">
        <f t="shared" si="30"/>
        <v>2020</v>
      </c>
      <c r="T112" s="90">
        <f t="shared" si="31"/>
        <v>2021</v>
      </c>
    </row>
    <row r="113" spans="1:20" ht="42" x14ac:dyDescent="0.3">
      <c r="A113" s="56">
        <v>125</v>
      </c>
      <c r="B113" s="57" t="s">
        <v>138</v>
      </c>
      <c r="C113" s="57" t="s">
        <v>65</v>
      </c>
      <c r="D113" s="57" t="s">
        <v>143</v>
      </c>
      <c r="E113" s="315">
        <v>62761</v>
      </c>
      <c r="F113" s="296" t="s">
        <v>10</v>
      </c>
      <c r="G113" s="228" t="str">
        <f>IF(B113="Repair &amp; Replace",RRCostProjection,VLOOKUP(B113,CIP_Summary,'CIP Summary'!$C$6,FALSE))</f>
        <v>Escalation</v>
      </c>
      <c r="H113" s="228">
        <f t="shared" si="24"/>
        <v>9414.15</v>
      </c>
      <c r="I113" s="314">
        <f t="shared" si="25"/>
        <v>6276.1</v>
      </c>
      <c r="J113" s="314">
        <f t="shared" si="26"/>
        <v>78451.25</v>
      </c>
      <c r="K113" s="316">
        <f>VLOOKUP(B113,CIP_Summary,'CIP Summary'!$G$6,FALSE)</f>
        <v>2022</v>
      </c>
      <c r="L113" s="374">
        <f>IF(B113="repair &amp; replace",VLOOKUP(K113,RR_ENR,2,FALSE),VLOOKUP(B113,CIP_Summary,'CIP Summary'!$H$6,FALSE))</f>
        <v>0</v>
      </c>
      <c r="M113" s="86">
        <f t="shared" si="27"/>
        <v>90946.500221427865</v>
      </c>
      <c r="N113" s="340">
        <f t="shared" si="28"/>
        <v>10913.580026571342</v>
      </c>
      <c r="O113" s="228">
        <f t="shared" si="29"/>
        <v>7275.7200177142304</v>
      </c>
      <c r="P113" s="180">
        <f>IF(B113="Repair &amp; Replace",0,VLOOKUP(B113,CIP_Summary,'CIP Summary'!$M$6,FALSE))</f>
        <v>6</v>
      </c>
      <c r="Q113" s="180">
        <f>IF(B113="repair &amp; replace",RR_Construction,VLOOKUP(B113,CIP_Summary,'CIP Summary'!$N$6,FALSE))</f>
        <v>6</v>
      </c>
      <c r="R113" s="180">
        <f>IF(B113="repair &amp; replace",RR_Float,VLOOKUP(B113,CIP_Summary,'CIP Summary'!$O$6,FALSE))</f>
        <v>3</v>
      </c>
      <c r="S113" s="90">
        <f t="shared" si="30"/>
        <v>2020</v>
      </c>
      <c r="T113" s="90">
        <f t="shared" si="31"/>
        <v>2021</v>
      </c>
    </row>
    <row r="114" spans="1:20" ht="42" x14ac:dyDescent="0.3">
      <c r="A114" s="56">
        <v>126</v>
      </c>
      <c r="B114" s="57" t="s">
        <v>138</v>
      </c>
      <c r="C114" s="57" t="s">
        <v>65</v>
      </c>
      <c r="D114" s="57" t="s">
        <v>144</v>
      </c>
      <c r="E114" s="315">
        <v>24672</v>
      </c>
      <c r="F114" s="296" t="s">
        <v>10</v>
      </c>
      <c r="G114" s="228" t="str">
        <f>IF(B114="Repair &amp; Replace",RRCostProjection,VLOOKUP(B114,CIP_Summary,'CIP Summary'!$C$6,FALSE))</f>
        <v>Escalation</v>
      </c>
      <c r="H114" s="228">
        <f t="shared" si="24"/>
        <v>3700.7999999999997</v>
      </c>
      <c r="I114" s="314">
        <f t="shared" si="25"/>
        <v>2467.2000000000003</v>
      </c>
      <c r="J114" s="314">
        <f t="shared" si="26"/>
        <v>30840</v>
      </c>
      <c r="K114" s="316">
        <f>VLOOKUP(B114,CIP_Summary,'CIP Summary'!$G$6,FALSE)</f>
        <v>2022</v>
      </c>
      <c r="L114" s="374">
        <f>IF(B114="repair &amp; replace",VLOOKUP(K114,RR_ENR,2,FALSE),VLOOKUP(B114,CIP_Summary,'CIP Summary'!$H$6,FALSE))</f>
        <v>0</v>
      </c>
      <c r="M114" s="86">
        <f t="shared" si="27"/>
        <v>35752.012451411996</v>
      </c>
      <c r="N114" s="340">
        <f t="shared" si="28"/>
        <v>4290.2414941694396</v>
      </c>
      <c r="O114" s="228">
        <f t="shared" si="29"/>
        <v>2860.1609961129598</v>
      </c>
      <c r="P114" s="180">
        <f>IF(B114="Repair &amp; Replace",0,VLOOKUP(B114,CIP_Summary,'CIP Summary'!$M$6,FALSE))</f>
        <v>6</v>
      </c>
      <c r="Q114" s="180">
        <f>IF(B114="repair &amp; replace",RR_Construction,VLOOKUP(B114,CIP_Summary,'CIP Summary'!$N$6,FALSE))</f>
        <v>6</v>
      </c>
      <c r="R114" s="180">
        <f>IF(B114="repair &amp; replace",RR_Float,VLOOKUP(B114,CIP_Summary,'CIP Summary'!$O$6,FALSE))</f>
        <v>3</v>
      </c>
      <c r="S114" s="90">
        <f t="shared" si="30"/>
        <v>2020</v>
      </c>
      <c r="T114" s="90">
        <f t="shared" si="31"/>
        <v>2021</v>
      </c>
    </row>
    <row r="115" spans="1:20" ht="28.2" x14ac:dyDescent="0.3">
      <c r="A115" s="56">
        <v>127</v>
      </c>
      <c r="B115" s="58" t="s">
        <v>218</v>
      </c>
      <c r="C115" s="57" t="s">
        <v>53</v>
      </c>
      <c r="D115" s="57" t="s">
        <v>315</v>
      </c>
      <c r="E115" s="315">
        <v>104385</v>
      </c>
      <c r="F115" s="296" t="s">
        <v>10</v>
      </c>
      <c r="G115" s="228" t="str">
        <f>IF(B115="Repair &amp; Replace",RRCostProjection,VLOOKUP(B115,CIP_Summary,'CIP Summary'!$C$6,FALSE))</f>
        <v>Escalation</v>
      </c>
      <c r="H115" s="228">
        <f t="shared" si="24"/>
        <v>15657.75</v>
      </c>
      <c r="I115" s="314">
        <f t="shared" si="25"/>
        <v>10438.5</v>
      </c>
      <c r="J115" s="314">
        <f t="shared" si="26"/>
        <v>130481.25</v>
      </c>
      <c r="K115" s="316">
        <f>VLOOKUP(B115,CIP_Summary,'CIP Summary'!$G$6,FALSE)</f>
        <v>2021</v>
      </c>
      <c r="L115" s="374">
        <f>IF(B115="repair &amp; replace",VLOOKUP(K115,RR_ENR,2,FALSE),VLOOKUP(B115,CIP_Summary,'CIP Summary'!$H$6,FALSE))</f>
        <v>0</v>
      </c>
      <c r="M115" s="86">
        <f t="shared" si="27"/>
        <v>146857.7964148125</v>
      </c>
      <c r="N115" s="340">
        <f t="shared" si="28"/>
        <v>17622.935569777503</v>
      </c>
      <c r="O115" s="228">
        <f t="shared" si="29"/>
        <v>11748.623713184999</v>
      </c>
      <c r="P115" s="180">
        <f>IF(B115="Repair &amp; Replace",0,VLOOKUP(B115,CIP_Summary,'CIP Summary'!$M$6,FALSE))</f>
        <v>12</v>
      </c>
      <c r="Q115" s="180">
        <f>IF(B115="repair &amp; replace",RR_Construction,VLOOKUP(B115,CIP_Summary,'CIP Summary'!$N$6,FALSE))</f>
        <v>18</v>
      </c>
      <c r="R115" s="180">
        <f>IF(B115="repair &amp; replace",RR_Float,VLOOKUP(B115,CIP_Summary,'CIP Summary'!$O$6,FALSE))</f>
        <v>6</v>
      </c>
      <c r="S115" s="90">
        <f t="shared" si="30"/>
        <v>2018</v>
      </c>
      <c r="T115" s="90">
        <f t="shared" si="31"/>
        <v>2019</v>
      </c>
    </row>
    <row r="116" spans="1:20" ht="28.2" x14ac:dyDescent="0.3">
      <c r="A116" s="56">
        <v>128</v>
      </c>
      <c r="B116" s="57" t="s">
        <v>219</v>
      </c>
      <c r="C116" s="57" t="s">
        <v>53</v>
      </c>
      <c r="D116" s="57" t="s">
        <v>67</v>
      </c>
      <c r="E116" s="315">
        <v>870475</v>
      </c>
      <c r="F116" s="296" t="s">
        <v>10</v>
      </c>
      <c r="G116" s="228" t="str">
        <f>IF(B116="Repair &amp; Replace",RRCostProjection,VLOOKUP(B116,CIP_Summary,'CIP Summary'!$C$6,FALSE))</f>
        <v>Escalation</v>
      </c>
      <c r="H116" s="228">
        <f t="shared" si="24"/>
        <v>130571.25</v>
      </c>
      <c r="I116" s="314">
        <f t="shared" si="25"/>
        <v>87047.5</v>
      </c>
      <c r="J116" s="314">
        <f t="shared" si="26"/>
        <v>1088093.75</v>
      </c>
      <c r="K116" s="316">
        <f>VLOOKUP(B116,CIP_Summary,'CIP Summary'!$G$6,FALSE)</f>
        <v>2034</v>
      </c>
      <c r="L116" s="374">
        <f>IF(B116="repair &amp; replace",VLOOKUP(K116,RR_ENR,2,FALSE),VLOOKUP(B116,CIP_Summary,'CIP Summary'!$H$6,FALSE))</f>
        <v>0</v>
      </c>
      <c r="M116" s="86">
        <f t="shared" si="27"/>
        <v>1798453.1783771901</v>
      </c>
      <c r="N116" s="340">
        <f t="shared" si="28"/>
        <v>215814.3814052628</v>
      </c>
      <c r="O116" s="228">
        <f t="shared" si="29"/>
        <v>143876.25427017521</v>
      </c>
      <c r="P116" s="180">
        <f>IF(B116="Repair &amp; Replace",0,VLOOKUP(B116,CIP_Summary,'CIP Summary'!$M$6,FALSE))</f>
        <v>12</v>
      </c>
      <c r="Q116" s="180">
        <f>IF(B116="repair &amp; replace",RR_Construction,VLOOKUP(B116,CIP_Summary,'CIP Summary'!$N$6,FALSE))</f>
        <v>24</v>
      </c>
      <c r="R116" s="180">
        <f>IF(B116="repair &amp; replace",RR_Float,VLOOKUP(B116,CIP_Summary,'CIP Summary'!$O$6,FALSE))</f>
        <v>6</v>
      </c>
      <c r="S116" s="90">
        <f t="shared" si="30"/>
        <v>2030</v>
      </c>
      <c r="T116" s="90">
        <f t="shared" si="31"/>
        <v>2031</v>
      </c>
    </row>
    <row r="117" spans="1:20" ht="28.2" x14ac:dyDescent="0.3">
      <c r="A117" s="56">
        <v>129</v>
      </c>
      <c r="B117" s="57" t="s">
        <v>96</v>
      </c>
      <c r="C117" s="57" t="s">
        <v>53</v>
      </c>
      <c r="D117" s="57" t="s">
        <v>132</v>
      </c>
      <c r="E117" s="317">
        <v>260000</v>
      </c>
      <c r="F117" s="296" t="s">
        <v>9</v>
      </c>
      <c r="G117" s="228" t="str">
        <f>IF(B117="Repair &amp; Replace",RRCostProjection,VLOOKUP(B117,CIP_Summary,'CIP Summary'!$C$6,FALSE))</f>
        <v>Escalation</v>
      </c>
      <c r="H117" s="228">
        <f t="shared" si="24"/>
        <v>0</v>
      </c>
      <c r="I117" s="314">
        <f t="shared" si="25"/>
        <v>26000</v>
      </c>
      <c r="J117" s="314">
        <f t="shared" si="26"/>
        <v>286000</v>
      </c>
      <c r="K117" s="316">
        <v>2020</v>
      </c>
      <c r="L117" s="374">
        <f>IF(B117="repair &amp; replace",VLOOKUP(K117,RR_ENR,2,FALSE),VLOOKUP(B117,CIP_Summary,'CIP Summary'!$H$6,FALSE))</f>
        <v>0</v>
      </c>
      <c r="M117" s="86">
        <f t="shared" si="27"/>
        <v>312519.92200000002</v>
      </c>
      <c r="N117" s="340">
        <f t="shared" si="28"/>
        <v>0</v>
      </c>
      <c r="O117" s="228">
        <f t="shared" si="29"/>
        <v>28410.902000000002</v>
      </c>
      <c r="P117" s="180">
        <f>IF(B117="Repair &amp; Replace",0,VLOOKUP(B117,CIP_Summary,'CIP Summary'!$M$6,FALSE))</f>
        <v>0</v>
      </c>
      <c r="Q117" s="180">
        <f>IF(B117="repair &amp; replace",RR_Construction,VLOOKUP(B117,CIP_Summary,'CIP Summary'!$N$6,FALSE))</f>
        <v>6</v>
      </c>
      <c r="R117" s="180">
        <f>IF(B117="repair &amp; replace",RR_Float,VLOOKUP(B117,CIP_Summary,'CIP Summary'!$O$6,FALSE))</f>
        <v>6</v>
      </c>
      <c r="S117" s="90">
        <f t="shared" si="30"/>
        <v>2019</v>
      </c>
      <c r="T117" s="90">
        <f t="shared" si="31"/>
        <v>2019</v>
      </c>
    </row>
    <row r="118" spans="1:20" ht="28.2" x14ac:dyDescent="0.3">
      <c r="A118" s="56">
        <v>130</v>
      </c>
      <c r="B118" s="57" t="s">
        <v>96</v>
      </c>
      <c r="C118" s="57" t="s">
        <v>53</v>
      </c>
      <c r="D118" s="57" t="s">
        <v>133</v>
      </c>
      <c r="E118" s="317">
        <v>260000</v>
      </c>
      <c r="F118" s="296" t="s">
        <v>9</v>
      </c>
      <c r="G118" s="228" t="str">
        <f>IF(B118="Repair &amp; Replace",RRCostProjection,VLOOKUP(B118,CIP_Summary,'CIP Summary'!$C$6,FALSE))</f>
        <v>Escalation</v>
      </c>
      <c r="H118" s="228">
        <f t="shared" si="24"/>
        <v>0</v>
      </c>
      <c r="I118" s="314">
        <f t="shared" si="25"/>
        <v>26000</v>
      </c>
      <c r="J118" s="314">
        <f t="shared" si="26"/>
        <v>286000</v>
      </c>
      <c r="K118" s="316">
        <v>2032</v>
      </c>
      <c r="L118" s="374">
        <f>IF(B118="repair &amp; replace",VLOOKUP(K118,RR_ENR,2,FALSE),VLOOKUP(B118,CIP_Summary,'CIP Summary'!$H$6,FALSE))</f>
        <v>0</v>
      </c>
      <c r="M118" s="86">
        <f t="shared" si="27"/>
        <v>445578.68114781863</v>
      </c>
      <c r="N118" s="340">
        <f t="shared" si="28"/>
        <v>0</v>
      </c>
      <c r="O118" s="228">
        <f t="shared" si="29"/>
        <v>40507.152831619875</v>
      </c>
      <c r="P118" s="180">
        <f>IF(B118="Repair &amp; Replace",0,VLOOKUP(B118,CIP_Summary,'CIP Summary'!$M$6,FALSE))</f>
        <v>0</v>
      </c>
      <c r="Q118" s="180">
        <f>IF(B118="repair &amp; replace",RR_Construction,VLOOKUP(B118,CIP_Summary,'CIP Summary'!$N$6,FALSE))</f>
        <v>6</v>
      </c>
      <c r="R118" s="180">
        <f>IF(B118="repair &amp; replace",RR_Float,VLOOKUP(B118,CIP_Summary,'CIP Summary'!$O$6,FALSE))</f>
        <v>6</v>
      </c>
      <c r="S118" s="90">
        <f t="shared" si="30"/>
        <v>2031</v>
      </c>
      <c r="T118" s="90">
        <f t="shared" si="31"/>
        <v>2031</v>
      </c>
    </row>
    <row r="119" spans="1:20" ht="28.2" x14ac:dyDescent="0.3">
      <c r="A119" s="56">
        <v>131</v>
      </c>
      <c r="B119" s="57" t="s">
        <v>96</v>
      </c>
      <c r="C119" s="57" t="s">
        <v>53</v>
      </c>
      <c r="D119" s="57" t="s">
        <v>134</v>
      </c>
      <c r="E119" s="315">
        <v>114264</v>
      </c>
      <c r="F119" s="296" t="s">
        <v>9</v>
      </c>
      <c r="G119" s="228" t="str">
        <f>IF(B119="Repair &amp; Replace",RRCostProjection,VLOOKUP(B119,CIP_Summary,'CIP Summary'!$C$6,FALSE))</f>
        <v>Escalation</v>
      </c>
      <c r="H119" s="228">
        <f t="shared" si="24"/>
        <v>0</v>
      </c>
      <c r="I119" s="314">
        <f t="shared" si="25"/>
        <v>11426.400000000001</v>
      </c>
      <c r="J119" s="314">
        <f t="shared" si="26"/>
        <v>125690.40000000001</v>
      </c>
      <c r="K119" s="325">
        <v>2036</v>
      </c>
      <c r="L119" s="374">
        <f>IF(B119="repair &amp; replace",VLOOKUP(K119,RR_ENR,2,FALSE),VLOOKUP(B119,CIP_Summary,'CIP Summary'!$H$6,FALSE))</f>
        <v>0</v>
      </c>
      <c r="M119" s="86">
        <f t="shared" si="27"/>
        <v>220398.87721368199</v>
      </c>
      <c r="N119" s="340">
        <f t="shared" si="28"/>
        <v>0</v>
      </c>
      <c r="O119" s="228">
        <f t="shared" si="29"/>
        <v>20036.26156488018</v>
      </c>
      <c r="P119" s="180">
        <f>IF(B119="Repair &amp; Replace",0,VLOOKUP(B119,CIP_Summary,'CIP Summary'!$M$6,FALSE))</f>
        <v>0</v>
      </c>
      <c r="Q119" s="180">
        <f>IF(B119="repair &amp; replace",RR_Construction,VLOOKUP(B119,CIP_Summary,'CIP Summary'!$N$6,FALSE))</f>
        <v>6</v>
      </c>
      <c r="R119" s="180">
        <f>IF(B119="repair &amp; replace",RR_Float,VLOOKUP(B119,CIP_Summary,'CIP Summary'!$O$6,FALSE))</f>
        <v>6</v>
      </c>
      <c r="S119" s="90">
        <f t="shared" si="30"/>
        <v>2035</v>
      </c>
      <c r="T119" s="90">
        <f t="shared" si="31"/>
        <v>2035</v>
      </c>
    </row>
    <row r="120" spans="1:20" ht="28.2" x14ac:dyDescent="0.3">
      <c r="A120" s="56">
        <v>132</v>
      </c>
      <c r="B120" s="57" t="s">
        <v>219</v>
      </c>
      <c r="C120" s="57" t="s">
        <v>68</v>
      </c>
      <c r="D120" s="57" t="s">
        <v>69</v>
      </c>
      <c r="E120" s="317">
        <v>281250</v>
      </c>
      <c r="F120" s="296" t="s">
        <v>10</v>
      </c>
      <c r="G120" s="228" t="str">
        <f>IF(B120="Repair &amp; Replace",RRCostProjection,VLOOKUP(B120,CIP_Summary,'CIP Summary'!$C$6,FALSE))</f>
        <v>Escalation</v>
      </c>
      <c r="H120" s="228">
        <f t="shared" si="24"/>
        <v>42187.5</v>
      </c>
      <c r="I120" s="314">
        <f t="shared" si="25"/>
        <v>28125</v>
      </c>
      <c r="J120" s="314">
        <f t="shared" si="26"/>
        <v>351562.5</v>
      </c>
      <c r="K120" s="316">
        <f>VLOOKUP(B120,CIP_Summary,'CIP Summary'!$G$6,FALSE)</f>
        <v>2034</v>
      </c>
      <c r="L120" s="374">
        <f>IF(B120="repair &amp; replace",VLOOKUP(K120,RR_ENR,2,FALSE),VLOOKUP(B120,CIP_Summary,'CIP Summary'!$H$6,FALSE))</f>
        <v>0</v>
      </c>
      <c r="M120" s="86">
        <f t="shared" si="27"/>
        <v>581079.24572053738</v>
      </c>
      <c r="N120" s="340">
        <f t="shared" si="28"/>
        <v>69729.509486464493</v>
      </c>
      <c r="O120" s="228">
        <f t="shared" si="29"/>
        <v>46486.339657642988</v>
      </c>
      <c r="P120" s="180">
        <f>IF(B120="Repair &amp; Replace",0,VLOOKUP(B120,CIP_Summary,'CIP Summary'!$M$6,FALSE))</f>
        <v>12</v>
      </c>
      <c r="Q120" s="180">
        <f>IF(B120="repair &amp; replace",RR_Construction,VLOOKUP(B120,CIP_Summary,'CIP Summary'!$N$6,FALSE))</f>
        <v>24</v>
      </c>
      <c r="R120" s="180">
        <f>IF(B120="repair &amp; replace",RR_Float,VLOOKUP(B120,CIP_Summary,'CIP Summary'!$O$6,FALSE))</f>
        <v>6</v>
      </c>
      <c r="S120" s="90">
        <f t="shared" si="30"/>
        <v>2030</v>
      </c>
      <c r="T120" s="90">
        <f t="shared" si="31"/>
        <v>2031</v>
      </c>
    </row>
    <row r="121" spans="1:20" ht="42" x14ac:dyDescent="0.3">
      <c r="A121" s="56">
        <v>133</v>
      </c>
      <c r="B121" s="58" t="s">
        <v>71</v>
      </c>
      <c r="C121" s="58" t="s">
        <v>68</v>
      </c>
      <c r="D121" s="58" t="s">
        <v>93</v>
      </c>
      <c r="E121" s="315">
        <v>7546</v>
      </c>
      <c r="F121" s="296" t="s">
        <v>9</v>
      </c>
      <c r="G121" s="228" t="str">
        <f>IF(B121="Repair &amp; Replace",RRCostProjection,VLOOKUP(B121,CIP_Summary,'CIP Summary'!$C$6,FALSE))</f>
        <v>Escalation</v>
      </c>
      <c r="H121" s="228">
        <f t="shared" si="24"/>
        <v>0</v>
      </c>
      <c r="I121" s="314">
        <f t="shared" si="25"/>
        <v>754.6</v>
      </c>
      <c r="J121" s="314">
        <f t="shared" si="26"/>
        <v>8300.6</v>
      </c>
      <c r="K121" s="316">
        <f>VLOOKUP(B121,CIP_Summary,'CIP Summary'!$G$6,FALSE)</f>
        <v>2022</v>
      </c>
      <c r="L121" s="374">
        <f>IF(B121="repair &amp; replace",VLOOKUP(K121,RR_ENR,2,FALSE),VLOOKUP(B121,CIP_Summary,'CIP Summary'!$H$6,FALSE))</f>
        <v>0</v>
      </c>
      <c r="M121" s="86">
        <f t="shared" si="27"/>
        <v>9622.6703811345797</v>
      </c>
      <c r="N121" s="340">
        <f t="shared" si="28"/>
        <v>0</v>
      </c>
      <c r="O121" s="228">
        <f t="shared" si="29"/>
        <v>874.78821646677989</v>
      </c>
      <c r="P121" s="180">
        <f>IF(B121="Repair &amp; Replace",0,VLOOKUP(B121,CIP_Summary,'CIP Summary'!$M$6,FALSE))</f>
        <v>6</v>
      </c>
      <c r="Q121" s="180">
        <f>IF(B121="repair &amp; replace",RR_Construction,VLOOKUP(B121,CIP_Summary,'CIP Summary'!$N$6,FALSE))</f>
        <v>6</v>
      </c>
      <c r="R121" s="180">
        <f>IF(B121="repair &amp; replace",RR_Float,VLOOKUP(B121,CIP_Summary,'CIP Summary'!$O$6,FALSE))</f>
        <v>3</v>
      </c>
      <c r="S121" s="90">
        <f t="shared" si="30"/>
        <v>2020</v>
      </c>
      <c r="T121" s="90">
        <f t="shared" si="31"/>
        <v>2021</v>
      </c>
    </row>
    <row r="122" spans="1:20" ht="42" x14ac:dyDescent="0.3">
      <c r="A122" s="56">
        <v>134</v>
      </c>
      <c r="B122" s="58" t="s">
        <v>71</v>
      </c>
      <c r="C122" s="58" t="s">
        <v>68</v>
      </c>
      <c r="D122" s="59" t="s">
        <v>94</v>
      </c>
      <c r="E122" s="315">
        <v>35168</v>
      </c>
      <c r="F122" s="296" t="s">
        <v>9</v>
      </c>
      <c r="G122" s="228" t="str">
        <f>IF(B122="Repair &amp; Replace",RRCostProjection,VLOOKUP(B122,CIP_Summary,'CIP Summary'!$C$6,FALSE))</f>
        <v>Escalation</v>
      </c>
      <c r="H122" s="228">
        <f t="shared" si="24"/>
        <v>0</v>
      </c>
      <c r="I122" s="314">
        <f t="shared" si="25"/>
        <v>3516.8</v>
      </c>
      <c r="J122" s="314">
        <f t="shared" si="26"/>
        <v>38684.800000000003</v>
      </c>
      <c r="K122" s="316">
        <f>VLOOKUP(B122,CIP_Summary,'CIP Summary'!$G$6,FALSE)</f>
        <v>2022</v>
      </c>
      <c r="L122" s="374">
        <f>IF(B122="repair &amp; replace",VLOOKUP(K122,RR_ENR,2,FALSE),VLOOKUP(B122,CIP_Summary,'CIP Summary'!$H$6,FALSE))</f>
        <v>0</v>
      </c>
      <c r="M122" s="86">
        <f t="shared" si="27"/>
        <v>44846.285709480639</v>
      </c>
      <c r="N122" s="340">
        <f t="shared" si="28"/>
        <v>0</v>
      </c>
      <c r="O122" s="228">
        <f t="shared" si="29"/>
        <v>4076.9350644982396</v>
      </c>
      <c r="P122" s="180">
        <f>IF(B122="Repair &amp; Replace",0,VLOOKUP(B122,CIP_Summary,'CIP Summary'!$M$6,FALSE))</f>
        <v>6</v>
      </c>
      <c r="Q122" s="180">
        <f>IF(B122="repair &amp; replace",RR_Construction,VLOOKUP(B122,CIP_Summary,'CIP Summary'!$N$6,FALSE))</f>
        <v>6</v>
      </c>
      <c r="R122" s="180">
        <f>IF(B122="repair &amp; replace",RR_Float,VLOOKUP(B122,CIP_Summary,'CIP Summary'!$O$6,FALSE))</f>
        <v>3</v>
      </c>
      <c r="S122" s="90">
        <f t="shared" si="30"/>
        <v>2020</v>
      </c>
      <c r="T122" s="90">
        <f t="shared" si="31"/>
        <v>2021</v>
      </c>
    </row>
    <row r="123" spans="1:20" x14ac:dyDescent="0.3">
      <c r="A123" s="56">
        <v>135</v>
      </c>
      <c r="B123" s="57" t="s">
        <v>96</v>
      </c>
      <c r="C123" s="57" t="s">
        <v>68</v>
      </c>
      <c r="D123" s="57" t="s">
        <v>135</v>
      </c>
      <c r="E123" s="317">
        <v>300000</v>
      </c>
      <c r="F123" s="296" t="s">
        <v>9</v>
      </c>
      <c r="G123" s="228" t="str">
        <f>IF(B123="Repair &amp; Replace",RRCostProjection,VLOOKUP(B123,CIP_Summary,'CIP Summary'!$C$6,FALSE))</f>
        <v>Escalation</v>
      </c>
      <c r="H123" s="228">
        <f t="shared" si="24"/>
        <v>0</v>
      </c>
      <c r="I123" s="314">
        <f t="shared" si="25"/>
        <v>30000</v>
      </c>
      <c r="J123" s="314">
        <f t="shared" si="26"/>
        <v>330000</v>
      </c>
      <c r="K123" s="316">
        <v>2020</v>
      </c>
      <c r="L123" s="374">
        <f>IF(B123="repair &amp; replace",VLOOKUP(K123,RR_ENR,2,FALSE),VLOOKUP(B123,CIP_Summary,'CIP Summary'!$H$6,FALSE))</f>
        <v>0</v>
      </c>
      <c r="M123" s="86">
        <f t="shared" si="27"/>
        <v>360599.91</v>
      </c>
      <c r="N123" s="340">
        <f t="shared" si="28"/>
        <v>0</v>
      </c>
      <c r="O123" s="228">
        <f t="shared" si="29"/>
        <v>32781.81</v>
      </c>
      <c r="P123" s="180">
        <f>IF(B123="Repair &amp; Replace",0,VLOOKUP(B123,CIP_Summary,'CIP Summary'!$M$6,FALSE))</f>
        <v>0</v>
      </c>
      <c r="Q123" s="180">
        <f>IF(B123="repair &amp; replace",RR_Construction,VLOOKUP(B123,CIP_Summary,'CIP Summary'!$N$6,FALSE))</f>
        <v>6</v>
      </c>
      <c r="R123" s="180">
        <f>IF(B123="repair &amp; replace",RR_Float,VLOOKUP(B123,CIP_Summary,'CIP Summary'!$O$6,FALSE))</f>
        <v>6</v>
      </c>
      <c r="S123" s="90">
        <f t="shared" si="30"/>
        <v>2019</v>
      </c>
      <c r="T123" s="90">
        <f t="shared" si="31"/>
        <v>2019</v>
      </c>
    </row>
    <row r="124" spans="1:20" ht="28.2" x14ac:dyDescent="0.3">
      <c r="A124" s="56">
        <v>136</v>
      </c>
      <c r="B124" s="58" t="s">
        <v>218</v>
      </c>
      <c r="C124" s="57" t="s">
        <v>68</v>
      </c>
      <c r="D124" s="57" t="s">
        <v>136</v>
      </c>
      <c r="E124" s="315">
        <v>300000</v>
      </c>
      <c r="F124" s="296" t="s">
        <v>10</v>
      </c>
      <c r="G124" s="228" t="str">
        <f>IF(B124="Repair &amp; Replace",RRCostProjection,VLOOKUP(B124,CIP_Summary,'CIP Summary'!$C$6,FALSE))</f>
        <v>Escalation</v>
      </c>
      <c r="H124" s="228">
        <f t="shared" si="24"/>
        <v>45000</v>
      </c>
      <c r="I124" s="314">
        <f t="shared" si="25"/>
        <v>30000</v>
      </c>
      <c r="J124" s="314">
        <f t="shared" si="26"/>
        <v>375000</v>
      </c>
      <c r="K124" s="90">
        <v>2022</v>
      </c>
      <c r="L124" s="374">
        <f>IF(B124="repair &amp; replace",VLOOKUP(K124,RR_ENR,2,FALSE),VLOOKUP(B124,CIP_Summary,'CIP Summary'!$H$6,FALSE))</f>
        <v>0</v>
      </c>
      <c r="M124" s="86">
        <f t="shared" si="27"/>
        <v>434727.77786249993</v>
      </c>
      <c r="N124" s="340">
        <f t="shared" si="28"/>
        <v>52167.333343499988</v>
      </c>
      <c r="O124" s="228">
        <f t="shared" si="29"/>
        <v>34778.222228999992</v>
      </c>
      <c r="P124" s="180">
        <f>IF(B124="Repair &amp; Replace",0,VLOOKUP(B124,CIP_Summary,'CIP Summary'!$M$6,FALSE))</f>
        <v>12</v>
      </c>
      <c r="Q124" s="180">
        <f>IF(B124="repair &amp; replace",RR_Construction,VLOOKUP(B124,CIP_Summary,'CIP Summary'!$N$6,FALSE))</f>
        <v>18</v>
      </c>
      <c r="R124" s="180">
        <f>IF(B124="repair &amp; replace",RR_Float,VLOOKUP(B124,CIP_Summary,'CIP Summary'!$O$6,FALSE))</f>
        <v>6</v>
      </c>
      <c r="S124" s="90">
        <f t="shared" si="30"/>
        <v>2019</v>
      </c>
      <c r="T124" s="90">
        <f t="shared" si="31"/>
        <v>2020</v>
      </c>
    </row>
    <row r="125" spans="1:20" x14ac:dyDescent="0.3">
      <c r="A125" s="56">
        <v>137</v>
      </c>
      <c r="B125" s="57" t="s">
        <v>96</v>
      </c>
      <c r="C125" s="57" t="s">
        <v>68</v>
      </c>
      <c r="D125" s="57" t="s">
        <v>135</v>
      </c>
      <c r="E125" s="317">
        <v>43036</v>
      </c>
      <c r="F125" s="296" t="s">
        <v>9</v>
      </c>
      <c r="G125" s="228" t="str">
        <f>IF(B125="Repair &amp; Replace",RRCostProjection,VLOOKUP(B125,CIP_Summary,'CIP Summary'!$C$6,FALSE))</f>
        <v>Escalation</v>
      </c>
      <c r="H125" s="228">
        <f t="shared" si="24"/>
        <v>0</v>
      </c>
      <c r="I125" s="314">
        <f t="shared" si="25"/>
        <v>4303.6000000000004</v>
      </c>
      <c r="J125" s="314">
        <f t="shared" si="26"/>
        <v>47339.600000000006</v>
      </c>
      <c r="K125" s="325">
        <v>2036</v>
      </c>
      <c r="L125" s="374">
        <f>IF(B125="repair &amp; replace",VLOOKUP(K125,RR_ENR,2,FALSE),VLOOKUP(B125,CIP_Summary,'CIP Summary'!$H$6,FALSE))</f>
        <v>0</v>
      </c>
      <c r="M125" s="86">
        <f t="shared" si="27"/>
        <v>83010.275150248708</v>
      </c>
      <c r="N125" s="340">
        <f t="shared" si="28"/>
        <v>0</v>
      </c>
      <c r="O125" s="228">
        <f t="shared" si="29"/>
        <v>7546.3886500226099</v>
      </c>
      <c r="P125" s="180">
        <f>IF(B125="Repair &amp; Replace",0,VLOOKUP(B125,CIP_Summary,'CIP Summary'!$M$6,FALSE))</f>
        <v>0</v>
      </c>
      <c r="Q125" s="180">
        <f>IF(B125="repair &amp; replace",RR_Construction,VLOOKUP(B125,CIP_Summary,'CIP Summary'!$N$6,FALSE))</f>
        <v>6</v>
      </c>
      <c r="R125" s="180">
        <f>IF(B125="repair &amp; replace",RR_Float,VLOOKUP(B125,CIP_Summary,'CIP Summary'!$O$6,FALSE))</f>
        <v>6</v>
      </c>
      <c r="S125" s="90">
        <f t="shared" si="30"/>
        <v>2035</v>
      </c>
      <c r="T125" s="90">
        <f t="shared" si="31"/>
        <v>2035</v>
      </c>
    </row>
    <row r="126" spans="1:20" ht="55.8" x14ac:dyDescent="0.3">
      <c r="A126" s="56">
        <v>138</v>
      </c>
      <c r="B126" s="57" t="s">
        <v>138</v>
      </c>
      <c r="C126" s="57" t="s">
        <v>68</v>
      </c>
      <c r="D126" s="57" t="s">
        <v>145</v>
      </c>
      <c r="E126" s="315">
        <v>219386</v>
      </c>
      <c r="F126" s="296" t="s">
        <v>10</v>
      </c>
      <c r="G126" s="228" t="str">
        <f>IF(B126="Repair &amp; Replace",RRCostProjection,VLOOKUP(B126,CIP_Summary,'CIP Summary'!$C$6,FALSE))</f>
        <v>Escalation</v>
      </c>
      <c r="H126" s="228">
        <f t="shared" si="24"/>
        <v>32907.9</v>
      </c>
      <c r="I126" s="314">
        <f t="shared" si="25"/>
        <v>21938.600000000002</v>
      </c>
      <c r="J126" s="314">
        <f t="shared" si="26"/>
        <v>274232.5</v>
      </c>
      <c r="K126" s="316">
        <f>VLOOKUP(B126,CIP_Summary,'CIP Summary'!$G$6,FALSE)</f>
        <v>2022</v>
      </c>
      <c r="L126" s="374">
        <f>IF(B126="repair &amp; replace",VLOOKUP(K126,RR_ENR,2,FALSE),VLOOKUP(B126,CIP_Summary,'CIP Summary'!$H$6,FALSE))</f>
        <v>0</v>
      </c>
      <c r="M126" s="86">
        <f t="shared" si="27"/>
        <v>317910.62758047471</v>
      </c>
      <c r="N126" s="340">
        <f t="shared" si="28"/>
        <v>38149.275309656972</v>
      </c>
      <c r="O126" s="228">
        <f t="shared" si="29"/>
        <v>25432.850206437979</v>
      </c>
      <c r="P126" s="180">
        <f>IF(B126="Repair &amp; Replace",0,VLOOKUP(B126,CIP_Summary,'CIP Summary'!$M$6,FALSE))</f>
        <v>6</v>
      </c>
      <c r="Q126" s="180">
        <f>IF(B126="repair &amp; replace",RR_Construction,VLOOKUP(B126,CIP_Summary,'CIP Summary'!$N$6,FALSE))</f>
        <v>6</v>
      </c>
      <c r="R126" s="180">
        <f>IF(B126="repair &amp; replace",RR_Float,VLOOKUP(B126,CIP_Summary,'CIP Summary'!$O$6,FALSE))</f>
        <v>3</v>
      </c>
      <c r="S126" s="90">
        <f t="shared" si="30"/>
        <v>2020</v>
      </c>
      <c r="T126" s="90">
        <f t="shared" si="31"/>
        <v>2021</v>
      </c>
    </row>
    <row r="127" spans="1:20" ht="55.8" x14ac:dyDescent="0.3">
      <c r="A127" s="56">
        <v>139</v>
      </c>
      <c r="B127" s="57" t="s">
        <v>138</v>
      </c>
      <c r="C127" s="57" t="s">
        <v>68</v>
      </c>
      <c r="D127" s="57" t="s">
        <v>146</v>
      </c>
      <c r="E127" s="315">
        <v>197164</v>
      </c>
      <c r="F127" s="296" t="s">
        <v>10</v>
      </c>
      <c r="G127" s="228" t="str">
        <f>IF(B127="Repair &amp; Replace",RRCostProjection,VLOOKUP(B127,CIP_Summary,'CIP Summary'!$C$6,FALSE))</f>
        <v>Escalation</v>
      </c>
      <c r="H127" s="228">
        <f t="shared" si="24"/>
        <v>29574.6</v>
      </c>
      <c r="I127" s="314">
        <f t="shared" si="25"/>
        <v>19716.400000000001</v>
      </c>
      <c r="J127" s="314">
        <f t="shared" si="26"/>
        <v>246455</v>
      </c>
      <c r="K127" s="316">
        <f>VLOOKUP(B127,CIP_Summary,'CIP Summary'!$G$6,FALSE)</f>
        <v>2022</v>
      </c>
      <c r="L127" s="374">
        <f>IF(B127="repair &amp; replace",VLOOKUP(K127,RR_ENR,2,FALSE),VLOOKUP(B127,CIP_Summary,'CIP Summary'!$H$6,FALSE))</f>
        <v>0</v>
      </c>
      <c r="M127" s="86">
        <f t="shared" si="27"/>
        <v>285708.89198160649</v>
      </c>
      <c r="N127" s="340">
        <f t="shared" si="28"/>
        <v>34285.067037792774</v>
      </c>
      <c r="O127" s="228">
        <f t="shared" si="29"/>
        <v>22856.711358528522</v>
      </c>
      <c r="P127" s="180">
        <f>IF(B127="Repair &amp; Replace",0,VLOOKUP(B127,CIP_Summary,'CIP Summary'!$M$6,FALSE))</f>
        <v>6</v>
      </c>
      <c r="Q127" s="180">
        <f>IF(B127="repair &amp; replace",RR_Construction,VLOOKUP(B127,CIP_Summary,'CIP Summary'!$N$6,FALSE))</f>
        <v>6</v>
      </c>
      <c r="R127" s="180">
        <f>IF(B127="repair &amp; replace",RR_Float,VLOOKUP(B127,CIP_Summary,'CIP Summary'!$O$6,FALSE))</f>
        <v>3</v>
      </c>
      <c r="S127" s="90">
        <f t="shared" si="30"/>
        <v>2020</v>
      </c>
      <c r="T127" s="90">
        <f t="shared" si="31"/>
        <v>2021</v>
      </c>
    </row>
    <row r="128" spans="1:20" ht="31.95" customHeight="1" x14ac:dyDescent="0.3">
      <c r="A128" s="56">
        <v>140</v>
      </c>
      <c r="B128" s="58" t="s">
        <v>218</v>
      </c>
      <c r="C128" s="57" t="s">
        <v>38</v>
      </c>
      <c r="D128" s="57" t="s">
        <v>149</v>
      </c>
      <c r="E128" s="315">
        <v>88917</v>
      </c>
      <c r="F128" s="296" t="s">
        <v>10</v>
      </c>
      <c r="G128" s="228" t="str">
        <f>IF(B128="Repair &amp; Replace",RRCostProjection,VLOOKUP(B128,CIP_Summary,'CIP Summary'!$C$6,FALSE))</f>
        <v>Escalation</v>
      </c>
      <c r="H128" s="228">
        <f t="shared" si="24"/>
        <v>13337.55</v>
      </c>
      <c r="I128" s="314">
        <f t="shared" si="25"/>
        <v>8891.7000000000007</v>
      </c>
      <c r="J128" s="314">
        <f t="shared" si="26"/>
        <v>111146.25</v>
      </c>
      <c r="K128" s="316">
        <f>VLOOKUP(B128,CIP_Summary,'CIP Summary'!$G$6,FALSE)</f>
        <v>2021</v>
      </c>
      <c r="L128" s="374">
        <f>IF(B128="repair &amp; replace",VLOOKUP(K128,RR_ENR,2,FALSE),VLOOKUP(B128,CIP_Summary,'CIP Summary'!$H$6,FALSE))</f>
        <v>0</v>
      </c>
      <c r="M128" s="86">
        <f t="shared" si="27"/>
        <v>125096.08357346249</v>
      </c>
      <c r="N128" s="340">
        <f t="shared" si="28"/>
        <v>15011.530028815498</v>
      </c>
      <c r="O128" s="228">
        <f t="shared" si="29"/>
        <v>10007.686685877001</v>
      </c>
      <c r="P128" s="180">
        <f>IF(B128="Repair &amp; Replace",0,VLOOKUP(B128,CIP_Summary,'CIP Summary'!$M$6,FALSE))</f>
        <v>12</v>
      </c>
      <c r="Q128" s="180">
        <f>IF(B128="repair &amp; replace",RR_Construction,VLOOKUP(B128,CIP_Summary,'CIP Summary'!$N$6,FALSE))</f>
        <v>18</v>
      </c>
      <c r="R128" s="180">
        <f>IF(B128="repair &amp; replace",RR_Float,VLOOKUP(B128,CIP_Summary,'CIP Summary'!$O$6,FALSE))</f>
        <v>6</v>
      </c>
      <c r="S128" s="90">
        <f t="shared" si="30"/>
        <v>2018</v>
      </c>
      <c r="T128" s="90">
        <f t="shared" si="31"/>
        <v>2019</v>
      </c>
    </row>
    <row r="129" spans="1:20" x14ac:dyDescent="0.3">
      <c r="A129" s="56">
        <v>141</v>
      </c>
      <c r="B129" s="58" t="s">
        <v>96</v>
      </c>
      <c r="C129" s="57" t="s">
        <v>119</v>
      </c>
      <c r="D129" s="58" t="s">
        <v>158</v>
      </c>
      <c r="E129" s="317">
        <v>7000</v>
      </c>
      <c r="F129" s="296" t="s">
        <v>9</v>
      </c>
      <c r="G129" s="228" t="str">
        <f>IF(B129="Repair &amp; Replace",RRCostProjection,VLOOKUP(B129,CIP_Summary,'CIP Summary'!$C$6,FALSE))</f>
        <v>Escalation</v>
      </c>
      <c r="H129" s="228">
        <f t="shared" si="24"/>
        <v>0</v>
      </c>
      <c r="I129" s="314">
        <f t="shared" si="25"/>
        <v>700</v>
      </c>
      <c r="J129" s="314">
        <f t="shared" si="26"/>
        <v>7700.0000000000009</v>
      </c>
      <c r="K129" s="316">
        <v>2021</v>
      </c>
      <c r="L129" s="374">
        <f>IF(B129="repair &amp; replace",VLOOKUP(K129,RR_ENR,2,FALSE),VLOOKUP(B129,CIP_Summary,'CIP Summary'!$H$6,FALSE))</f>
        <v>0</v>
      </c>
      <c r="M129" s="86">
        <f t="shared" si="27"/>
        <v>8666.4178370000009</v>
      </c>
      <c r="N129" s="340">
        <f t="shared" si="28"/>
        <v>0</v>
      </c>
      <c r="O129" s="228">
        <f t="shared" si="29"/>
        <v>787.85616700000003</v>
      </c>
      <c r="P129" s="180">
        <f>IF(B129="Repair &amp; Replace",0,VLOOKUP(B129,CIP_Summary,'CIP Summary'!$M$6,FALSE))</f>
        <v>0</v>
      </c>
      <c r="Q129" s="180">
        <f>IF(B129="repair &amp; replace",RR_Construction,VLOOKUP(B129,CIP_Summary,'CIP Summary'!$N$6,FALSE))</f>
        <v>6</v>
      </c>
      <c r="R129" s="180">
        <f>IF(B129="repair &amp; replace",RR_Float,VLOOKUP(B129,CIP_Summary,'CIP Summary'!$O$6,FALSE))</f>
        <v>6</v>
      </c>
      <c r="S129" s="90">
        <f t="shared" si="30"/>
        <v>2020</v>
      </c>
      <c r="T129" s="90">
        <f t="shared" si="31"/>
        <v>2020</v>
      </c>
    </row>
    <row r="130" spans="1:20" x14ac:dyDescent="0.3">
      <c r="A130" s="56">
        <v>142</v>
      </c>
      <c r="B130" s="58" t="s">
        <v>96</v>
      </c>
      <c r="C130" s="57" t="s">
        <v>119</v>
      </c>
      <c r="D130" s="58" t="s">
        <v>159</v>
      </c>
      <c r="E130" s="317">
        <v>4375</v>
      </c>
      <c r="F130" s="296" t="s">
        <v>9</v>
      </c>
      <c r="G130" s="228" t="str">
        <f>IF(B130="Repair &amp; Replace",RRCostProjection,VLOOKUP(B130,CIP_Summary,'CIP Summary'!$C$6,FALSE))</f>
        <v>Escalation</v>
      </c>
      <c r="H130" s="228">
        <f t="shared" si="24"/>
        <v>0</v>
      </c>
      <c r="I130" s="314">
        <f t="shared" si="25"/>
        <v>437.5</v>
      </c>
      <c r="J130" s="314">
        <f t="shared" si="26"/>
        <v>4812.5</v>
      </c>
      <c r="K130" s="316">
        <v>2021</v>
      </c>
      <c r="L130" s="374">
        <f>IF(B130="repair &amp; replace",VLOOKUP(K130,RR_ENR,2,FALSE),VLOOKUP(B130,CIP_Summary,'CIP Summary'!$H$6,FALSE))</f>
        <v>0</v>
      </c>
      <c r="M130" s="86">
        <f t="shared" si="27"/>
        <v>5416.5111481249996</v>
      </c>
      <c r="N130" s="340">
        <f t="shared" si="28"/>
        <v>0</v>
      </c>
      <c r="O130" s="228">
        <f t="shared" si="29"/>
        <v>492.41010437499995</v>
      </c>
      <c r="P130" s="180">
        <f>IF(B130="Repair &amp; Replace",0,VLOOKUP(B130,CIP_Summary,'CIP Summary'!$M$6,FALSE))</f>
        <v>0</v>
      </c>
      <c r="Q130" s="180">
        <f>IF(B130="repair &amp; replace",RR_Construction,VLOOKUP(B130,CIP_Summary,'CIP Summary'!$N$6,FALSE))</f>
        <v>6</v>
      </c>
      <c r="R130" s="180">
        <f>IF(B130="repair &amp; replace",RR_Float,VLOOKUP(B130,CIP_Summary,'CIP Summary'!$O$6,FALSE))</f>
        <v>6</v>
      </c>
      <c r="S130" s="90">
        <f t="shared" si="30"/>
        <v>2020</v>
      </c>
      <c r="T130" s="90">
        <f t="shared" si="31"/>
        <v>2020</v>
      </c>
    </row>
    <row r="131" spans="1:20" x14ac:dyDescent="0.3">
      <c r="A131" s="56">
        <v>143</v>
      </c>
      <c r="B131" s="58" t="s">
        <v>96</v>
      </c>
      <c r="C131" s="57" t="s">
        <v>119</v>
      </c>
      <c r="D131" s="58" t="s">
        <v>158</v>
      </c>
      <c r="E131" s="317">
        <v>7000</v>
      </c>
      <c r="F131" s="296" t="s">
        <v>9</v>
      </c>
      <c r="G131" s="228" t="str">
        <f>IF(B131="Repair &amp; Replace",RRCostProjection,VLOOKUP(B131,CIP_Summary,'CIP Summary'!$C$6,FALSE))</f>
        <v>Escalation</v>
      </c>
      <c r="H131" s="228">
        <f t="shared" si="24"/>
        <v>0</v>
      </c>
      <c r="I131" s="314">
        <f t="shared" si="25"/>
        <v>700</v>
      </c>
      <c r="J131" s="314">
        <f t="shared" si="26"/>
        <v>7700.0000000000009</v>
      </c>
      <c r="K131" s="316">
        <v>2022</v>
      </c>
      <c r="L131" s="374">
        <f>IF(B131="repair &amp; replace",VLOOKUP(K131,RR_ENR,2,FALSE),VLOOKUP(B131,CIP_Summary,'CIP Summary'!$H$6,FALSE))</f>
        <v>0</v>
      </c>
      <c r="M131" s="86">
        <f t="shared" si="27"/>
        <v>8926.41037211</v>
      </c>
      <c r="N131" s="340">
        <f t="shared" si="28"/>
        <v>0</v>
      </c>
      <c r="O131" s="228">
        <f t="shared" si="29"/>
        <v>811.49185200999989</v>
      </c>
      <c r="P131" s="180">
        <f>IF(B131="Repair &amp; Replace",0,VLOOKUP(B131,CIP_Summary,'CIP Summary'!$M$6,FALSE))</f>
        <v>0</v>
      </c>
      <c r="Q131" s="180">
        <f>IF(B131="repair &amp; replace",RR_Construction,VLOOKUP(B131,CIP_Summary,'CIP Summary'!$N$6,FALSE))</f>
        <v>6</v>
      </c>
      <c r="R131" s="180">
        <f>IF(B131="repair &amp; replace",RR_Float,VLOOKUP(B131,CIP_Summary,'CIP Summary'!$O$6,FALSE))</f>
        <v>6</v>
      </c>
      <c r="S131" s="90">
        <f t="shared" si="30"/>
        <v>2021</v>
      </c>
      <c r="T131" s="90">
        <f t="shared" si="31"/>
        <v>2021</v>
      </c>
    </row>
    <row r="132" spans="1:20" x14ac:dyDescent="0.3">
      <c r="A132" s="56">
        <v>144</v>
      </c>
      <c r="B132" s="58" t="s">
        <v>96</v>
      </c>
      <c r="C132" s="57" t="s">
        <v>119</v>
      </c>
      <c r="D132" s="58" t="s">
        <v>159</v>
      </c>
      <c r="E132" s="317">
        <v>4375</v>
      </c>
      <c r="F132" s="296" t="s">
        <v>9</v>
      </c>
      <c r="G132" s="228" t="str">
        <f>IF(B132="Repair &amp; Replace",RRCostProjection,VLOOKUP(B132,CIP_Summary,'CIP Summary'!$C$6,FALSE))</f>
        <v>Escalation</v>
      </c>
      <c r="H132" s="228">
        <f t="shared" si="24"/>
        <v>0</v>
      </c>
      <c r="I132" s="314">
        <f t="shared" si="25"/>
        <v>437.5</v>
      </c>
      <c r="J132" s="314">
        <f t="shared" si="26"/>
        <v>4812.5</v>
      </c>
      <c r="K132" s="316">
        <v>2022</v>
      </c>
      <c r="L132" s="374">
        <f>IF(B132="repair &amp; replace",VLOOKUP(K132,RR_ENR,2,FALSE),VLOOKUP(B132,CIP_Summary,'CIP Summary'!$H$6,FALSE))</f>
        <v>0</v>
      </c>
      <c r="M132" s="86">
        <f t="shared" si="27"/>
        <v>5579.0064825687496</v>
      </c>
      <c r="N132" s="340">
        <f t="shared" si="28"/>
        <v>0</v>
      </c>
      <c r="O132" s="228">
        <f t="shared" si="29"/>
        <v>507.18240750624994</v>
      </c>
      <c r="P132" s="180">
        <f>IF(B132="Repair &amp; Replace",0,VLOOKUP(B132,CIP_Summary,'CIP Summary'!$M$6,FALSE))</f>
        <v>0</v>
      </c>
      <c r="Q132" s="180">
        <f>IF(B132="repair &amp; replace",RR_Construction,VLOOKUP(B132,CIP_Summary,'CIP Summary'!$N$6,FALSE))</f>
        <v>6</v>
      </c>
      <c r="R132" s="180">
        <f>IF(B132="repair &amp; replace",RR_Float,VLOOKUP(B132,CIP_Summary,'CIP Summary'!$O$6,FALSE))</f>
        <v>6</v>
      </c>
      <c r="S132" s="90">
        <f t="shared" si="30"/>
        <v>2021</v>
      </c>
      <c r="T132" s="90">
        <f t="shared" si="31"/>
        <v>2021</v>
      </c>
    </row>
    <row r="133" spans="1:20" x14ac:dyDescent="0.3">
      <c r="A133" s="56">
        <v>145</v>
      </c>
      <c r="B133" s="58" t="s">
        <v>96</v>
      </c>
      <c r="C133" s="57" t="s">
        <v>119</v>
      </c>
      <c r="D133" s="58" t="s">
        <v>158</v>
      </c>
      <c r="E133" s="317">
        <v>7000</v>
      </c>
      <c r="F133" s="296" t="s">
        <v>9</v>
      </c>
      <c r="G133" s="228" t="str">
        <f>IF(B133="Repair &amp; Replace",RRCostProjection,VLOOKUP(B133,CIP_Summary,'CIP Summary'!$C$6,FALSE))</f>
        <v>Escalation</v>
      </c>
      <c r="H133" s="228">
        <f t="shared" si="24"/>
        <v>0</v>
      </c>
      <c r="I133" s="314">
        <f t="shared" si="25"/>
        <v>700</v>
      </c>
      <c r="J133" s="314">
        <f t="shared" si="26"/>
        <v>7700.0000000000009</v>
      </c>
      <c r="K133" s="316">
        <v>2023</v>
      </c>
      <c r="L133" s="374">
        <f>IF(B133="repair &amp; replace",VLOOKUP(K133,RR_ENR,2,FALSE),VLOOKUP(B133,CIP_Summary,'CIP Summary'!$H$6,FALSE))</f>
        <v>0</v>
      </c>
      <c r="M133" s="86">
        <f t="shared" si="27"/>
        <v>9194.2026832733009</v>
      </c>
      <c r="N133" s="340">
        <f t="shared" si="28"/>
        <v>0</v>
      </c>
      <c r="O133" s="228">
        <f t="shared" si="29"/>
        <v>835.83660757029998</v>
      </c>
      <c r="P133" s="180">
        <f>IF(B133="Repair &amp; Replace",0,VLOOKUP(B133,CIP_Summary,'CIP Summary'!$M$6,FALSE))</f>
        <v>0</v>
      </c>
      <c r="Q133" s="180">
        <f>IF(B133="repair &amp; replace",RR_Construction,VLOOKUP(B133,CIP_Summary,'CIP Summary'!$N$6,FALSE))</f>
        <v>6</v>
      </c>
      <c r="R133" s="180">
        <f>IF(B133="repair &amp; replace",RR_Float,VLOOKUP(B133,CIP_Summary,'CIP Summary'!$O$6,FALSE))</f>
        <v>6</v>
      </c>
      <c r="S133" s="90">
        <f t="shared" si="30"/>
        <v>2022</v>
      </c>
      <c r="T133" s="90">
        <f t="shared" si="31"/>
        <v>2022</v>
      </c>
    </row>
    <row r="134" spans="1:20" x14ac:dyDescent="0.3">
      <c r="A134" s="56">
        <v>146</v>
      </c>
      <c r="B134" s="58" t="s">
        <v>96</v>
      </c>
      <c r="C134" s="57" t="s">
        <v>119</v>
      </c>
      <c r="D134" s="58" t="s">
        <v>159</v>
      </c>
      <c r="E134" s="317">
        <v>4375</v>
      </c>
      <c r="F134" s="296" t="s">
        <v>9</v>
      </c>
      <c r="G134" s="228" t="str">
        <f>IF(B134="Repair &amp; Replace",RRCostProjection,VLOOKUP(B134,CIP_Summary,'CIP Summary'!$C$6,FALSE))</f>
        <v>Escalation</v>
      </c>
      <c r="H134" s="228">
        <f t="shared" si="24"/>
        <v>0</v>
      </c>
      <c r="I134" s="314">
        <f t="shared" si="25"/>
        <v>437.5</v>
      </c>
      <c r="J134" s="314">
        <f t="shared" si="26"/>
        <v>4812.5</v>
      </c>
      <c r="K134" s="316">
        <v>2023</v>
      </c>
      <c r="L134" s="374">
        <f>IF(B134="repair &amp; replace",VLOOKUP(K134,RR_ENR,2,FALSE),VLOOKUP(B134,CIP_Summary,'CIP Summary'!$H$6,FALSE))</f>
        <v>0</v>
      </c>
      <c r="M134" s="86">
        <f t="shared" si="27"/>
        <v>5746.3766770458124</v>
      </c>
      <c r="N134" s="340">
        <f t="shared" si="28"/>
        <v>0</v>
      </c>
      <c r="O134" s="228">
        <f t="shared" si="29"/>
        <v>522.39787973143746</v>
      </c>
      <c r="P134" s="180">
        <f>IF(B134="Repair &amp; Replace",0,VLOOKUP(B134,CIP_Summary,'CIP Summary'!$M$6,FALSE))</f>
        <v>0</v>
      </c>
      <c r="Q134" s="180">
        <f>IF(B134="repair &amp; replace",RR_Construction,VLOOKUP(B134,CIP_Summary,'CIP Summary'!$N$6,FALSE))</f>
        <v>6</v>
      </c>
      <c r="R134" s="180">
        <f>IF(B134="repair &amp; replace",RR_Float,VLOOKUP(B134,CIP_Summary,'CIP Summary'!$O$6,FALSE))</f>
        <v>6</v>
      </c>
      <c r="S134" s="90">
        <f t="shared" si="30"/>
        <v>2022</v>
      </c>
      <c r="T134" s="90">
        <f t="shared" si="31"/>
        <v>2022</v>
      </c>
    </row>
    <row r="135" spans="1:20" x14ac:dyDescent="0.3">
      <c r="A135" s="56">
        <v>147</v>
      </c>
      <c r="B135" s="58" t="s">
        <v>96</v>
      </c>
      <c r="C135" s="57" t="s">
        <v>119</v>
      </c>
      <c r="D135" s="58" t="s">
        <v>158</v>
      </c>
      <c r="E135" s="317">
        <v>7000</v>
      </c>
      <c r="F135" s="296" t="s">
        <v>9</v>
      </c>
      <c r="G135" s="228" t="str">
        <f>IF(B135="Repair &amp; Replace",RRCostProjection,VLOOKUP(B135,CIP_Summary,'CIP Summary'!$C$6,FALSE))</f>
        <v>Escalation</v>
      </c>
      <c r="H135" s="228">
        <f t="shared" si="24"/>
        <v>0</v>
      </c>
      <c r="I135" s="314">
        <f t="shared" si="25"/>
        <v>700</v>
      </c>
      <c r="J135" s="314">
        <f t="shared" si="26"/>
        <v>7700.0000000000009</v>
      </c>
      <c r="K135" s="316">
        <v>2024</v>
      </c>
      <c r="L135" s="374">
        <f>IF(B135="repair &amp; replace",VLOOKUP(K135,RR_ENR,2,FALSE),VLOOKUP(B135,CIP_Summary,'CIP Summary'!$H$6,FALSE))</f>
        <v>0</v>
      </c>
      <c r="M135" s="86">
        <f t="shared" si="27"/>
        <v>9470.0287637714991</v>
      </c>
      <c r="N135" s="340">
        <f t="shared" si="28"/>
        <v>0</v>
      </c>
      <c r="O135" s="228">
        <f t="shared" si="29"/>
        <v>860.9117057974089</v>
      </c>
      <c r="P135" s="180">
        <f>IF(B135="Repair &amp; Replace",0,VLOOKUP(B135,CIP_Summary,'CIP Summary'!$M$6,FALSE))</f>
        <v>0</v>
      </c>
      <c r="Q135" s="180">
        <f>IF(B135="repair &amp; replace",RR_Construction,VLOOKUP(B135,CIP_Summary,'CIP Summary'!$N$6,FALSE))</f>
        <v>6</v>
      </c>
      <c r="R135" s="180">
        <f>IF(B135="repair &amp; replace",RR_Float,VLOOKUP(B135,CIP_Summary,'CIP Summary'!$O$6,FALSE))</f>
        <v>6</v>
      </c>
      <c r="S135" s="90">
        <f t="shared" si="30"/>
        <v>2023</v>
      </c>
      <c r="T135" s="90">
        <f t="shared" si="31"/>
        <v>2023</v>
      </c>
    </row>
    <row r="136" spans="1:20" x14ac:dyDescent="0.3">
      <c r="A136" s="56">
        <v>148</v>
      </c>
      <c r="B136" s="58" t="s">
        <v>96</v>
      </c>
      <c r="C136" s="57" t="s">
        <v>119</v>
      </c>
      <c r="D136" s="58" t="s">
        <v>159</v>
      </c>
      <c r="E136" s="317">
        <v>4375</v>
      </c>
      <c r="F136" s="296" t="s">
        <v>9</v>
      </c>
      <c r="G136" s="228" t="str">
        <f>IF(B136="Repair &amp; Replace",RRCostProjection,VLOOKUP(B136,CIP_Summary,'CIP Summary'!$C$6,FALSE))</f>
        <v>Escalation</v>
      </c>
      <c r="H136" s="228">
        <f t="shared" ref="H136:H161" si="32">IF(F136="Yes",E136*(Design),0)</f>
        <v>0</v>
      </c>
      <c r="I136" s="314">
        <f t="shared" ref="I136:I161" si="33">E136*(Admin)</f>
        <v>437.5</v>
      </c>
      <c r="J136" s="314">
        <f t="shared" ref="J136:J161" si="34">E136*IF(F136="yes",(1+Design+Admin),IF(F136="No",(1+Admin),"Check"))</f>
        <v>4812.5</v>
      </c>
      <c r="K136" s="316">
        <v>2024</v>
      </c>
      <c r="L136" s="374">
        <f>IF(B136="repair &amp; replace",VLOOKUP(K136,RR_ENR,2,FALSE),VLOOKUP(B136,CIP_Summary,'CIP Summary'!$H$6,FALSE))</f>
        <v>0</v>
      </c>
      <c r="M136" s="86">
        <f t="shared" ref="M136:M161" si="35">IF(G136="Escalation",J136*(Escalation_Rate)^(K136-YEAR(estimate_date)),IF(G136="Revised Estimate",((ENR_Revised/ENR)*J136)*Escalation_Rate^(K136-YEAR(Revised_Estimate_Date)),IF(AND(G136="ENR",L136&gt;0),J136*L136/ENR,"Need ENR @ Project Year")))</f>
        <v>5918.7679773571872</v>
      </c>
      <c r="N136" s="340">
        <f t="shared" ref="N136:N161" si="36">IF(M136="Need ENR @ Project Year",M136,H136*M136/J136)</f>
        <v>0</v>
      </c>
      <c r="O136" s="228">
        <f t="shared" ref="O136:O161" si="37">IF(M136="Need ENR @ Project Year",M136,I136*M136/J136)</f>
        <v>538.06981612338063</v>
      </c>
      <c r="P136" s="180">
        <f>IF(B136="Repair &amp; Replace",0,VLOOKUP(B136,CIP_Summary,'CIP Summary'!$M$6,FALSE))</f>
        <v>0</v>
      </c>
      <c r="Q136" s="180">
        <f>IF(B136="repair &amp; replace",RR_Construction,VLOOKUP(B136,CIP_Summary,'CIP Summary'!$N$6,FALSE))</f>
        <v>6</v>
      </c>
      <c r="R136" s="180">
        <f>IF(B136="repair &amp; replace",RR_Float,VLOOKUP(B136,CIP_Summary,'CIP Summary'!$O$6,FALSE))</f>
        <v>6</v>
      </c>
      <c r="S136" s="90">
        <f t="shared" ref="S136:S161" si="38">ROUNDDOWN(K136-SUM(P136:R136)/12,0)</f>
        <v>2023</v>
      </c>
      <c r="T136" s="90">
        <f t="shared" ref="T136:T161" si="39">ROUNDDOWN(K136-SUM(Q136:R136)/12,0)</f>
        <v>2023</v>
      </c>
    </row>
    <row r="137" spans="1:20" x14ac:dyDescent="0.3">
      <c r="A137" s="56">
        <v>149</v>
      </c>
      <c r="B137" s="58" t="s">
        <v>96</v>
      </c>
      <c r="C137" s="57" t="s">
        <v>119</v>
      </c>
      <c r="D137" s="58" t="s">
        <v>158</v>
      </c>
      <c r="E137" s="317">
        <v>7000</v>
      </c>
      <c r="F137" s="296" t="s">
        <v>9</v>
      </c>
      <c r="G137" s="228" t="str">
        <f>IF(B137="Repair &amp; Replace",RRCostProjection,VLOOKUP(B137,CIP_Summary,'CIP Summary'!$C$6,FALSE))</f>
        <v>Escalation</v>
      </c>
      <c r="H137" s="228">
        <f t="shared" si="32"/>
        <v>0</v>
      </c>
      <c r="I137" s="314">
        <f t="shared" si="33"/>
        <v>700</v>
      </c>
      <c r="J137" s="314">
        <f t="shared" si="34"/>
        <v>7700.0000000000009</v>
      </c>
      <c r="K137" s="316">
        <v>2025</v>
      </c>
      <c r="L137" s="374">
        <f>IF(B137="repair &amp; replace",VLOOKUP(K137,RR_ENR,2,FALSE),VLOOKUP(B137,CIP_Summary,'CIP Summary'!$H$6,FALSE))</f>
        <v>0</v>
      </c>
      <c r="M137" s="86">
        <f t="shared" si="35"/>
        <v>9754.1296266846439</v>
      </c>
      <c r="N137" s="340">
        <f t="shared" si="36"/>
        <v>0</v>
      </c>
      <c r="O137" s="228">
        <f t="shared" si="37"/>
        <v>886.73905697133114</v>
      </c>
      <c r="P137" s="180">
        <f>IF(B137="Repair &amp; Replace",0,VLOOKUP(B137,CIP_Summary,'CIP Summary'!$M$6,FALSE))</f>
        <v>0</v>
      </c>
      <c r="Q137" s="180">
        <f>IF(B137="repair &amp; replace",RR_Construction,VLOOKUP(B137,CIP_Summary,'CIP Summary'!$N$6,FALSE))</f>
        <v>6</v>
      </c>
      <c r="R137" s="180">
        <f>IF(B137="repair &amp; replace",RR_Float,VLOOKUP(B137,CIP_Summary,'CIP Summary'!$O$6,FALSE))</f>
        <v>6</v>
      </c>
      <c r="S137" s="90">
        <f t="shared" si="38"/>
        <v>2024</v>
      </c>
      <c r="T137" s="90">
        <f t="shared" si="39"/>
        <v>2024</v>
      </c>
    </row>
    <row r="138" spans="1:20" x14ac:dyDescent="0.3">
      <c r="A138" s="56">
        <v>150</v>
      </c>
      <c r="B138" s="58" t="s">
        <v>96</v>
      </c>
      <c r="C138" s="57" t="s">
        <v>119</v>
      </c>
      <c r="D138" s="58" t="s">
        <v>159</v>
      </c>
      <c r="E138" s="317">
        <v>4375</v>
      </c>
      <c r="F138" s="296" t="s">
        <v>9</v>
      </c>
      <c r="G138" s="228" t="str">
        <f>IF(B138="Repair &amp; Replace",RRCostProjection,VLOOKUP(B138,CIP_Summary,'CIP Summary'!$C$6,FALSE))</f>
        <v>Escalation</v>
      </c>
      <c r="H138" s="228">
        <f t="shared" si="32"/>
        <v>0</v>
      </c>
      <c r="I138" s="314">
        <f t="shared" si="33"/>
        <v>437.5</v>
      </c>
      <c r="J138" s="314">
        <f t="shared" si="34"/>
        <v>4812.5</v>
      </c>
      <c r="K138" s="316">
        <v>2025</v>
      </c>
      <c r="L138" s="374">
        <f>IF(B138="repair &amp; replace",VLOOKUP(K138,RR_ENR,2,FALSE),VLOOKUP(B138,CIP_Summary,'CIP Summary'!$H$6,FALSE))</f>
        <v>0</v>
      </c>
      <c r="M138" s="86">
        <f t="shared" si="35"/>
        <v>6096.331016677902</v>
      </c>
      <c r="N138" s="340">
        <f t="shared" si="36"/>
        <v>0</v>
      </c>
      <c r="O138" s="228">
        <f t="shared" si="37"/>
        <v>554.21191060708202</v>
      </c>
      <c r="P138" s="180">
        <f>IF(B138="Repair &amp; Replace",0,VLOOKUP(B138,CIP_Summary,'CIP Summary'!$M$6,FALSE))</f>
        <v>0</v>
      </c>
      <c r="Q138" s="180">
        <f>IF(B138="repair &amp; replace",RR_Construction,VLOOKUP(B138,CIP_Summary,'CIP Summary'!$N$6,FALSE))</f>
        <v>6</v>
      </c>
      <c r="R138" s="180">
        <f>IF(B138="repair &amp; replace",RR_Float,VLOOKUP(B138,CIP_Summary,'CIP Summary'!$O$6,FALSE))</f>
        <v>6</v>
      </c>
      <c r="S138" s="90">
        <f t="shared" si="38"/>
        <v>2024</v>
      </c>
      <c r="T138" s="90">
        <f t="shared" si="39"/>
        <v>2024</v>
      </c>
    </row>
    <row r="139" spans="1:20" x14ac:dyDescent="0.3">
      <c r="A139" s="56">
        <v>151</v>
      </c>
      <c r="B139" s="58" t="s">
        <v>96</v>
      </c>
      <c r="C139" s="57" t="s">
        <v>119</v>
      </c>
      <c r="D139" s="58" t="s">
        <v>158</v>
      </c>
      <c r="E139" s="317">
        <v>7000</v>
      </c>
      <c r="F139" s="296" t="s">
        <v>9</v>
      </c>
      <c r="G139" s="228" t="str">
        <f>IF(B139="Repair &amp; Replace",RRCostProjection,VLOOKUP(B139,CIP_Summary,'CIP Summary'!$C$6,FALSE))</f>
        <v>Escalation</v>
      </c>
      <c r="H139" s="228">
        <f t="shared" si="32"/>
        <v>0</v>
      </c>
      <c r="I139" s="314">
        <f t="shared" si="33"/>
        <v>700</v>
      </c>
      <c r="J139" s="314">
        <f t="shared" si="34"/>
        <v>7700.0000000000009</v>
      </c>
      <c r="K139" s="316">
        <v>2026</v>
      </c>
      <c r="L139" s="374">
        <f>IF(B139="repair &amp; replace",VLOOKUP(K139,RR_ENR,2,FALSE),VLOOKUP(B139,CIP_Summary,'CIP Summary'!$H$6,FALSE))</f>
        <v>0</v>
      </c>
      <c r="M139" s="86">
        <f t="shared" si="35"/>
        <v>10046.753515485183</v>
      </c>
      <c r="N139" s="340">
        <f t="shared" si="36"/>
        <v>0</v>
      </c>
      <c r="O139" s="228">
        <f t="shared" si="37"/>
        <v>913.34122868047109</v>
      </c>
      <c r="P139" s="180">
        <f>IF(B139="Repair &amp; Replace",0,VLOOKUP(B139,CIP_Summary,'CIP Summary'!$M$6,FALSE))</f>
        <v>0</v>
      </c>
      <c r="Q139" s="180">
        <f>IF(B139="repair &amp; replace",RR_Construction,VLOOKUP(B139,CIP_Summary,'CIP Summary'!$N$6,FALSE))</f>
        <v>6</v>
      </c>
      <c r="R139" s="180">
        <f>IF(B139="repair &amp; replace",RR_Float,VLOOKUP(B139,CIP_Summary,'CIP Summary'!$O$6,FALSE))</f>
        <v>6</v>
      </c>
      <c r="S139" s="90">
        <f t="shared" si="38"/>
        <v>2025</v>
      </c>
      <c r="T139" s="90">
        <f t="shared" si="39"/>
        <v>2025</v>
      </c>
    </row>
    <row r="140" spans="1:20" x14ac:dyDescent="0.3">
      <c r="A140" s="56">
        <v>152</v>
      </c>
      <c r="B140" s="58" t="s">
        <v>96</v>
      </c>
      <c r="C140" s="57" t="s">
        <v>119</v>
      </c>
      <c r="D140" s="58" t="s">
        <v>159</v>
      </c>
      <c r="E140" s="317">
        <v>4375</v>
      </c>
      <c r="F140" s="296" t="s">
        <v>9</v>
      </c>
      <c r="G140" s="228" t="str">
        <f>IF(B140="Repair &amp; Replace",RRCostProjection,VLOOKUP(B140,CIP_Summary,'CIP Summary'!$C$6,FALSE))</f>
        <v>Escalation</v>
      </c>
      <c r="H140" s="228">
        <f t="shared" si="32"/>
        <v>0</v>
      </c>
      <c r="I140" s="314">
        <f t="shared" si="33"/>
        <v>437.5</v>
      </c>
      <c r="J140" s="314">
        <f t="shared" si="34"/>
        <v>4812.5</v>
      </c>
      <c r="K140" s="316">
        <v>2026</v>
      </c>
      <c r="L140" s="374">
        <f>IF(B140="repair &amp; replace",VLOOKUP(K140,RR_ENR,2,FALSE),VLOOKUP(B140,CIP_Summary,'CIP Summary'!$H$6,FALSE))</f>
        <v>0</v>
      </c>
      <c r="M140" s="86">
        <f t="shared" si="35"/>
        <v>6279.2209471782389</v>
      </c>
      <c r="N140" s="340">
        <f t="shared" si="36"/>
        <v>0</v>
      </c>
      <c r="O140" s="228">
        <f t="shared" si="37"/>
        <v>570.83826792529453</v>
      </c>
      <c r="P140" s="180">
        <f>IF(B140="Repair &amp; Replace",0,VLOOKUP(B140,CIP_Summary,'CIP Summary'!$M$6,FALSE))</f>
        <v>0</v>
      </c>
      <c r="Q140" s="180">
        <f>IF(B140="repair &amp; replace",RR_Construction,VLOOKUP(B140,CIP_Summary,'CIP Summary'!$N$6,FALSE))</f>
        <v>6</v>
      </c>
      <c r="R140" s="180">
        <f>IF(B140="repair &amp; replace",RR_Float,VLOOKUP(B140,CIP_Summary,'CIP Summary'!$O$6,FALSE))</f>
        <v>6</v>
      </c>
      <c r="S140" s="90">
        <f t="shared" si="38"/>
        <v>2025</v>
      </c>
      <c r="T140" s="90">
        <f t="shared" si="39"/>
        <v>2025</v>
      </c>
    </row>
    <row r="141" spans="1:20" x14ac:dyDescent="0.3">
      <c r="A141" s="56">
        <v>153</v>
      </c>
      <c r="B141" s="58" t="s">
        <v>96</v>
      </c>
      <c r="C141" s="57" t="s">
        <v>119</v>
      </c>
      <c r="D141" s="58" t="s">
        <v>158</v>
      </c>
      <c r="E141" s="317">
        <v>7000</v>
      </c>
      <c r="F141" s="296" t="s">
        <v>9</v>
      </c>
      <c r="G141" s="228" t="str">
        <f>IF(B141="Repair &amp; Replace",RRCostProjection,VLOOKUP(B141,CIP_Summary,'CIP Summary'!$C$6,FALSE))</f>
        <v>Escalation</v>
      </c>
      <c r="H141" s="228">
        <f t="shared" si="32"/>
        <v>0</v>
      </c>
      <c r="I141" s="314">
        <f t="shared" si="33"/>
        <v>700</v>
      </c>
      <c r="J141" s="314">
        <f t="shared" si="34"/>
        <v>7700.0000000000009</v>
      </c>
      <c r="K141" s="316">
        <v>2027</v>
      </c>
      <c r="L141" s="374">
        <f>IF(B141="repair &amp; replace",VLOOKUP(K141,RR_ENR,2,FALSE),VLOOKUP(B141,CIP_Summary,'CIP Summary'!$H$6,FALSE))</f>
        <v>0</v>
      </c>
      <c r="M141" s="86">
        <f t="shared" si="35"/>
        <v>10348.156120949739</v>
      </c>
      <c r="N141" s="340">
        <f t="shared" si="36"/>
        <v>0</v>
      </c>
      <c r="O141" s="228">
        <f t="shared" si="37"/>
        <v>940.74146554088532</v>
      </c>
      <c r="P141" s="180">
        <f>IF(B141="Repair &amp; Replace",0,VLOOKUP(B141,CIP_Summary,'CIP Summary'!$M$6,FALSE))</f>
        <v>0</v>
      </c>
      <c r="Q141" s="180">
        <f>IF(B141="repair &amp; replace",RR_Construction,VLOOKUP(B141,CIP_Summary,'CIP Summary'!$N$6,FALSE))</f>
        <v>6</v>
      </c>
      <c r="R141" s="180">
        <f>IF(B141="repair &amp; replace",RR_Float,VLOOKUP(B141,CIP_Summary,'CIP Summary'!$O$6,FALSE))</f>
        <v>6</v>
      </c>
      <c r="S141" s="90">
        <f t="shared" si="38"/>
        <v>2026</v>
      </c>
      <c r="T141" s="90">
        <f t="shared" si="39"/>
        <v>2026</v>
      </c>
    </row>
    <row r="142" spans="1:20" x14ac:dyDescent="0.3">
      <c r="A142" s="56">
        <v>154</v>
      </c>
      <c r="B142" s="58" t="s">
        <v>96</v>
      </c>
      <c r="C142" s="57" t="s">
        <v>119</v>
      </c>
      <c r="D142" s="58" t="s">
        <v>159</v>
      </c>
      <c r="E142" s="317">
        <v>4375</v>
      </c>
      <c r="F142" s="296" t="s">
        <v>9</v>
      </c>
      <c r="G142" s="228" t="str">
        <f>IF(B142="Repair &amp; Replace",RRCostProjection,VLOOKUP(B142,CIP_Summary,'CIP Summary'!$C$6,FALSE))</f>
        <v>Escalation</v>
      </c>
      <c r="H142" s="228">
        <f t="shared" si="32"/>
        <v>0</v>
      </c>
      <c r="I142" s="314">
        <f t="shared" si="33"/>
        <v>437.5</v>
      </c>
      <c r="J142" s="314">
        <f t="shared" si="34"/>
        <v>4812.5</v>
      </c>
      <c r="K142" s="316">
        <v>2027</v>
      </c>
      <c r="L142" s="374">
        <f>IF(B142="repair &amp; replace",VLOOKUP(K142,RR_ENR,2,FALSE),VLOOKUP(B142,CIP_Summary,'CIP Summary'!$H$6,FALSE))</f>
        <v>0</v>
      </c>
      <c r="M142" s="86">
        <f t="shared" si="35"/>
        <v>6467.597575593586</v>
      </c>
      <c r="N142" s="340">
        <f t="shared" si="36"/>
        <v>0</v>
      </c>
      <c r="O142" s="228">
        <f t="shared" si="37"/>
        <v>587.96341596305331</v>
      </c>
      <c r="P142" s="180">
        <f>IF(B142="Repair &amp; Replace",0,VLOOKUP(B142,CIP_Summary,'CIP Summary'!$M$6,FALSE))</f>
        <v>0</v>
      </c>
      <c r="Q142" s="180">
        <f>IF(B142="repair &amp; replace",RR_Construction,VLOOKUP(B142,CIP_Summary,'CIP Summary'!$N$6,FALSE))</f>
        <v>6</v>
      </c>
      <c r="R142" s="180">
        <f>IF(B142="repair &amp; replace",RR_Float,VLOOKUP(B142,CIP_Summary,'CIP Summary'!$O$6,FALSE))</f>
        <v>6</v>
      </c>
      <c r="S142" s="90">
        <f t="shared" si="38"/>
        <v>2026</v>
      </c>
      <c r="T142" s="90">
        <f t="shared" si="39"/>
        <v>2026</v>
      </c>
    </row>
    <row r="143" spans="1:20" x14ac:dyDescent="0.3">
      <c r="A143" s="56">
        <v>155</v>
      </c>
      <c r="B143" s="58" t="s">
        <v>96</v>
      </c>
      <c r="C143" s="57" t="s">
        <v>119</v>
      </c>
      <c r="D143" s="58" t="s">
        <v>158</v>
      </c>
      <c r="E143" s="317">
        <v>7000</v>
      </c>
      <c r="F143" s="296" t="s">
        <v>9</v>
      </c>
      <c r="G143" s="228" t="str">
        <f>IF(B143="Repair &amp; Replace",RRCostProjection,VLOOKUP(B143,CIP_Summary,'CIP Summary'!$C$6,FALSE))</f>
        <v>Escalation</v>
      </c>
      <c r="H143" s="228">
        <f t="shared" si="32"/>
        <v>0</v>
      </c>
      <c r="I143" s="314">
        <f t="shared" si="33"/>
        <v>700</v>
      </c>
      <c r="J143" s="314">
        <f t="shared" si="34"/>
        <v>7700.0000000000009</v>
      </c>
      <c r="K143" s="316">
        <v>2028</v>
      </c>
      <c r="L143" s="374">
        <f>IF(B143="repair &amp; replace",VLOOKUP(K143,RR_ENR,2,FALSE),VLOOKUP(B143,CIP_Summary,'CIP Summary'!$H$6,FALSE))</f>
        <v>0</v>
      </c>
      <c r="M143" s="86">
        <f t="shared" si="35"/>
        <v>10658.600804578231</v>
      </c>
      <c r="N143" s="340">
        <f t="shared" si="36"/>
        <v>0</v>
      </c>
      <c r="O143" s="228">
        <f t="shared" si="37"/>
        <v>968.96370950711173</v>
      </c>
      <c r="P143" s="180">
        <f>IF(B143="Repair &amp; Replace",0,VLOOKUP(B143,CIP_Summary,'CIP Summary'!$M$6,FALSE))</f>
        <v>0</v>
      </c>
      <c r="Q143" s="180">
        <f>IF(B143="repair &amp; replace",RR_Construction,VLOOKUP(B143,CIP_Summary,'CIP Summary'!$N$6,FALSE))</f>
        <v>6</v>
      </c>
      <c r="R143" s="180">
        <f>IF(B143="repair &amp; replace",RR_Float,VLOOKUP(B143,CIP_Summary,'CIP Summary'!$O$6,FALSE))</f>
        <v>6</v>
      </c>
      <c r="S143" s="90">
        <f t="shared" si="38"/>
        <v>2027</v>
      </c>
      <c r="T143" s="90">
        <f t="shared" si="39"/>
        <v>2027</v>
      </c>
    </row>
    <row r="144" spans="1:20" x14ac:dyDescent="0.3">
      <c r="A144" s="56">
        <v>156</v>
      </c>
      <c r="B144" s="58" t="s">
        <v>96</v>
      </c>
      <c r="C144" s="57" t="s">
        <v>119</v>
      </c>
      <c r="D144" s="58" t="s">
        <v>159</v>
      </c>
      <c r="E144" s="317">
        <v>4375</v>
      </c>
      <c r="F144" s="296" t="s">
        <v>9</v>
      </c>
      <c r="G144" s="228" t="str">
        <f>IF(B144="Repair &amp; Replace",RRCostProjection,VLOOKUP(B144,CIP_Summary,'CIP Summary'!$C$6,FALSE))</f>
        <v>Escalation</v>
      </c>
      <c r="H144" s="228">
        <f t="shared" si="32"/>
        <v>0</v>
      </c>
      <c r="I144" s="314">
        <f t="shared" si="33"/>
        <v>437.5</v>
      </c>
      <c r="J144" s="314">
        <f t="shared" si="34"/>
        <v>4812.5</v>
      </c>
      <c r="K144" s="316">
        <v>2028</v>
      </c>
      <c r="L144" s="374">
        <f>IF(B144="repair &amp; replace",VLOOKUP(K144,RR_ENR,2,FALSE),VLOOKUP(B144,CIP_Summary,'CIP Summary'!$H$6,FALSE))</f>
        <v>0</v>
      </c>
      <c r="M144" s="86">
        <f t="shared" si="35"/>
        <v>6661.6255028613941</v>
      </c>
      <c r="N144" s="340">
        <f t="shared" si="36"/>
        <v>0</v>
      </c>
      <c r="O144" s="228">
        <f t="shared" si="37"/>
        <v>605.60231844194493</v>
      </c>
      <c r="P144" s="180">
        <f>IF(B144="Repair &amp; Replace",0,VLOOKUP(B144,CIP_Summary,'CIP Summary'!$M$6,FALSE))</f>
        <v>0</v>
      </c>
      <c r="Q144" s="180">
        <f>IF(B144="repair &amp; replace",RR_Construction,VLOOKUP(B144,CIP_Summary,'CIP Summary'!$N$6,FALSE))</f>
        <v>6</v>
      </c>
      <c r="R144" s="180">
        <f>IF(B144="repair &amp; replace",RR_Float,VLOOKUP(B144,CIP_Summary,'CIP Summary'!$O$6,FALSE))</f>
        <v>6</v>
      </c>
      <c r="S144" s="90">
        <f t="shared" si="38"/>
        <v>2027</v>
      </c>
      <c r="T144" s="90">
        <f t="shared" si="39"/>
        <v>2027</v>
      </c>
    </row>
    <row r="145" spans="1:20" x14ac:dyDescent="0.3">
      <c r="A145" s="56">
        <v>157</v>
      </c>
      <c r="B145" s="58" t="s">
        <v>96</v>
      </c>
      <c r="C145" s="57" t="s">
        <v>119</v>
      </c>
      <c r="D145" s="58" t="s">
        <v>158</v>
      </c>
      <c r="E145" s="317">
        <v>7000</v>
      </c>
      <c r="F145" s="296" t="s">
        <v>9</v>
      </c>
      <c r="G145" s="228" t="str">
        <f>IF(B145="Repair &amp; Replace",RRCostProjection,VLOOKUP(B145,CIP_Summary,'CIP Summary'!$C$6,FALSE))</f>
        <v>Escalation</v>
      </c>
      <c r="H145" s="228">
        <f t="shared" si="32"/>
        <v>0</v>
      </c>
      <c r="I145" s="314">
        <f t="shared" si="33"/>
        <v>700</v>
      </c>
      <c r="J145" s="314">
        <f t="shared" si="34"/>
        <v>7700.0000000000009</v>
      </c>
      <c r="K145" s="316">
        <v>2029</v>
      </c>
      <c r="L145" s="374">
        <f>IF(B145="repair &amp; replace",VLOOKUP(K145,RR_ENR,2,FALSE),VLOOKUP(B145,CIP_Summary,'CIP Summary'!$H$6,FALSE))</f>
        <v>0</v>
      </c>
      <c r="M145" s="86">
        <f t="shared" si="35"/>
        <v>10978.358828715576</v>
      </c>
      <c r="N145" s="340">
        <f t="shared" si="36"/>
        <v>0</v>
      </c>
      <c r="O145" s="228">
        <f t="shared" si="37"/>
        <v>998.03262079232491</v>
      </c>
      <c r="P145" s="180">
        <f>IF(B145="Repair &amp; Replace",0,VLOOKUP(B145,CIP_Summary,'CIP Summary'!$M$6,FALSE))</f>
        <v>0</v>
      </c>
      <c r="Q145" s="180">
        <f>IF(B145="repair &amp; replace",RR_Construction,VLOOKUP(B145,CIP_Summary,'CIP Summary'!$N$6,FALSE))</f>
        <v>6</v>
      </c>
      <c r="R145" s="180">
        <f>IF(B145="repair &amp; replace",RR_Float,VLOOKUP(B145,CIP_Summary,'CIP Summary'!$O$6,FALSE))</f>
        <v>6</v>
      </c>
      <c r="S145" s="90">
        <f t="shared" si="38"/>
        <v>2028</v>
      </c>
      <c r="T145" s="90">
        <f t="shared" si="39"/>
        <v>2028</v>
      </c>
    </row>
    <row r="146" spans="1:20" x14ac:dyDescent="0.3">
      <c r="A146" s="56">
        <v>158</v>
      </c>
      <c r="B146" s="58" t="s">
        <v>96</v>
      </c>
      <c r="C146" s="57" t="s">
        <v>119</v>
      </c>
      <c r="D146" s="58" t="s">
        <v>159</v>
      </c>
      <c r="E146" s="317">
        <v>4375</v>
      </c>
      <c r="F146" s="296" t="s">
        <v>9</v>
      </c>
      <c r="G146" s="228" t="str">
        <f>IF(B146="Repair &amp; Replace",RRCostProjection,VLOOKUP(B146,CIP_Summary,'CIP Summary'!$C$6,FALSE))</f>
        <v>Escalation</v>
      </c>
      <c r="H146" s="228">
        <f t="shared" si="32"/>
        <v>0</v>
      </c>
      <c r="I146" s="314">
        <f t="shared" si="33"/>
        <v>437.5</v>
      </c>
      <c r="J146" s="314">
        <f t="shared" si="34"/>
        <v>4812.5</v>
      </c>
      <c r="K146" s="316">
        <v>2029</v>
      </c>
      <c r="L146" s="374">
        <f>IF(B146="repair &amp; replace",VLOOKUP(K146,RR_ENR,2,FALSE),VLOOKUP(B146,CIP_Summary,'CIP Summary'!$H$6,FALSE))</f>
        <v>0</v>
      </c>
      <c r="M146" s="86">
        <f t="shared" si="35"/>
        <v>6861.4742679472347</v>
      </c>
      <c r="N146" s="340">
        <f t="shared" si="36"/>
        <v>0</v>
      </c>
      <c r="O146" s="228">
        <f t="shared" si="37"/>
        <v>623.77038799520312</v>
      </c>
      <c r="P146" s="180">
        <f>IF(B146="Repair &amp; Replace",0,VLOOKUP(B146,CIP_Summary,'CIP Summary'!$M$6,FALSE))</f>
        <v>0</v>
      </c>
      <c r="Q146" s="180">
        <f>IF(B146="repair &amp; replace",RR_Construction,VLOOKUP(B146,CIP_Summary,'CIP Summary'!$N$6,FALSE))</f>
        <v>6</v>
      </c>
      <c r="R146" s="180">
        <f>IF(B146="repair &amp; replace",RR_Float,VLOOKUP(B146,CIP_Summary,'CIP Summary'!$O$6,FALSE))</f>
        <v>6</v>
      </c>
      <c r="S146" s="90">
        <f t="shared" si="38"/>
        <v>2028</v>
      </c>
      <c r="T146" s="90">
        <f t="shared" si="39"/>
        <v>2028</v>
      </c>
    </row>
    <row r="147" spans="1:20" x14ac:dyDescent="0.3">
      <c r="A147" s="56">
        <v>159</v>
      </c>
      <c r="B147" s="58" t="s">
        <v>96</v>
      </c>
      <c r="C147" s="57" t="s">
        <v>119</v>
      </c>
      <c r="D147" s="58" t="s">
        <v>158</v>
      </c>
      <c r="E147" s="317">
        <v>7000</v>
      </c>
      <c r="F147" s="296" t="s">
        <v>9</v>
      </c>
      <c r="G147" s="228" t="str">
        <f>IF(B147="Repair &amp; Replace",RRCostProjection,VLOOKUP(B147,CIP_Summary,'CIP Summary'!$C$6,FALSE))</f>
        <v>Escalation</v>
      </c>
      <c r="H147" s="228">
        <f t="shared" si="32"/>
        <v>0</v>
      </c>
      <c r="I147" s="314">
        <f t="shared" si="33"/>
        <v>700</v>
      </c>
      <c r="J147" s="314">
        <f t="shared" si="34"/>
        <v>7700.0000000000009</v>
      </c>
      <c r="K147" s="316">
        <v>2030</v>
      </c>
      <c r="L147" s="374">
        <f>IF(B147="repair &amp; replace",VLOOKUP(K147,RR_ENR,2,FALSE),VLOOKUP(B147,CIP_Summary,'CIP Summary'!$H$6,FALSE))</f>
        <v>0</v>
      </c>
      <c r="M147" s="86">
        <f t="shared" si="35"/>
        <v>11307.709593577043</v>
      </c>
      <c r="N147" s="340">
        <f t="shared" si="36"/>
        <v>0</v>
      </c>
      <c r="O147" s="228">
        <f t="shared" si="37"/>
        <v>1027.9735994160947</v>
      </c>
      <c r="P147" s="180">
        <f>IF(B147="Repair &amp; Replace",0,VLOOKUP(B147,CIP_Summary,'CIP Summary'!$M$6,FALSE))</f>
        <v>0</v>
      </c>
      <c r="Q147" s="180">
        <f>IF(B147="repair &amp; replace",RR_Construction,VLOOKUP(B147,CIP_Summary,'CIP Summary'!$N$6,FALSE))</f>
        <v>6</v>
      </c>
      <c r="R147" s="180">
        <f>IF(B147="repair &amp; replace",RR_Float,VLOOKUP(B147,CIP_Summary,'CIP Summary'!$O$6,FALSE))</f>
        <v>6</v>
      </c>
      <c r="S147" s="90">
        <f t="shared" si="38"/>
        <v>2029</v>
      </c>
      <c r="T147" s="90">
        <f t="shared" si="39"/>
        <v>2029</v>
      </c>
    </row>
    <row r="148" spans="1:20" x14ac:dyDescent="0.3">
      <c r="A148" s="56">
        <v>160</v>
      </c>
      <c r="B148" s="58" t="s">
        <v>96</v>
      </c>
      <c r="C148" s="57" t="s">
        <v>119</v>
      </c>
      <c r="D148" s="58" t="s">
        <v>159</v>
      </c>
      <c r="E148" s="317">
        <v>4375</v>
      </c>
      <c r="F148" s="296" t="s">
        <v>9</v>
      </c>
      <c r="G148" s="228" t="str">
        <f>IF(B148="Repair &amp; Replace",RRCostProjection,VLOOKUP(B148,CIP_Summary,'CIP Summary'!$C$6,FALSE))</f>
        <v>Escalation</v>
      </c>
      <c r="H148" s="228">
        <f t="shared" si="32"/>
        <v>0</v>
      </c>
      <c r="I148" s="314">
        <f t="shared" si="33"/>
        <v>437.5</v>
      </c>
      <c r="J148" s="314">
        <f t="shared" si="34"/>
        <v>4812.5</v>
      </c>
      <c r="K148" s="316">
        <v>2030</v>
      </c>
      <c r="L148" s="374">
        <f>IF(B148="repair &amp; replace",VLOOKUP(K148,RR_ENR,2,FALSE),VLOOKUP(B148,CIP_Summary,'CIP Summary'!$H$6,FALSE))</f>
        <v>0</v>
      </c>
      <c r="M148" s="86">
        <f t="shared" si="35"/>
        <v>7067.3184959856517</v>
      </c>
      <c r="N148" s="340">
        <f t="shared" si="36"/>
        <v>0</v>
      </c>
      <c r="O148" s="228">
        <f t="shared" si="37"/>
        <v>642.48349963505927</v>
      </c>
      <c r="P148" s="180">
        <f>IF(B148="Repair &amp; Replace",0,VLOOKUP(B148,CIP_Summary,'CIP Summary'!$M$6,FALSE))</f>
        <v>0</v>
      </c>
      <c r="Q148" s="180">
        <f>IF(B148="repair &amp; replace",RR_Construction,VLOOKUP(B148,CIP_Summary,'CIP Summary'!$N$6,FALSE))</f>
        <v>6</v>
      </c>
      <c r="R148" s="180">
        <f>IF(B148="repair &amp; replace",RR_Float,VLOOKUP(B148,CIP_Summary,'CIP Summary'!$O$6,FALSE))</f>
        <v>6</v>
      </c>
      <c r="S148" s="90">
        <f t="shared" si="38"/>
        <v>2029</v>
      </c>
      <c r="T148" s="90">
        <f t="shared" si="39"/>
        <v>2029</v>
      </c>
    </row>
    <row r="149" spans="1:20" x14ac:dyDescent="0.3">
      <c r="A149" s="56">
        <v>161</v>
      </c>
      <c r="B149" s="58" t="s">
        <v>96</v>
      </c>
      <c r="C149" s="57" t="s">
        <v>119</v>
      </c>
      <c r="D149" s="58" t="s">
        <v>158</v>
      </c>
      <c r="E149" s="317">
        <v>7000</v>
      </c>
      <c r="F149" s="296" t="s">
        <v>9</v>
      </c>
      <c r="G149" s="228" t="str">
        <f>IF(B149="Repair &amp; Replace",RRCostProjection,VLOOKUP(B149,CIP_Summary,'CIP Summary'!$C$6,FALSE))</f>
        <v>Escalation</v>
      </c>
      <c r="H149" s="228">
        <f t="shared" si="32"/>
        <v>0</v>
      </c>
      <c r="I149" s="314">
        <f t="shared" si="33"/>
        <v>700</v>
      </c>
      <c r="J149" s="314">
        <f t="shared" si="34"/>
        <v>7700.0000000000009</v>
      </c>
      <c r="K149" s="316">
        <v>2031</v>
      </c>
      <c r="L149" s="374">
        <f>IF(B149="repair &amp; replace",VLOOKUP(K149,RR_ENR,2,FALSE),VLOOKUP(B149,CIP_Summary,'CIP Summary'!$H$6,FALSE))</f>
        <v>0</v>
      </c>
      <c r="M149" s="86">
        <f t="shared" si="35"/>
        <v>11646.940881384357</v>
      </c>
      <c r="N149" s="340">
        <f t="shared" si="36"/>
        <v>0</v>
      </c>
      <c r="O149" s="228">
        <f t="shared" si="37"/>
        <v>1058.8128073985779</v>
      </c>
      <c r="P149" s="180">
        <f>IF(B149="Repair &amp; Replace",0,VLOOKUP(B149,CIP_Summary,'CIP Summary'!$M$6,FALSE))</f>
        <v>0</v>
      </c>
      <c r="Q149" s="180">
        <f>IF(B149="repair &amp; replace",RR_Construction,VLOOKUP(B149,CIP_Summary,'CIP Summary'!$N$6,FALSE))</f>
        <v>6</v>
      </c>
      <c r="R149" s="180">
        <f>IF(B149="repair &amp; replace",RR_Float,VLOOKUP(B149,CIP_Summary,'CIP Summary'!$O$6,FALSE))</f>
        <v>6</v>
      </c>
      <c r="S149" s="90">
        <f t="shared" si="38"/>
        <v>2030</v>
      </c>
      <c r="T149" s="90">
        <f t="shared" si="39"/>
        <v>2030</v>
      </c>
    </row>
    <row r="150" spans="1:20" x14ac:dyDescent="0.3">
      <c r="A150" s="56">
        <v>162</v>
      </c>
      <c r="B150" s="58" t="s">
        <v>96</v>
      </c>
      <c r="C150" s="57" t="s">
        <v>119</v>
      </c>
      <c r="D150" s="58" t="s">
        <v>159</v>
      </c>
      <c r="E150" s="317">
        <v>4375</v>
      </c>
      <c r="F150" s="296" t="s">
        <v>9</v>
      </c>
      <c r="G150" s="228" t="str">
        <f>IF(B150="Repair &amp; Replace",RRCostProjection,VLOOKUP(B150,CIP_Summary,'CIP Summary'!$C$6,FALSE))</f>
        <v>Escalation</v>
      </c>
      <c r="H150" s="228">
        <f t="shared" si="32"/>
        <v>0</v>
      </c>
      <c r="I150" s="314">
        <f t="shared" si="33"/>
        <v>437.5</v>
      </c>
      <c r="J150" s="314">
        <f t="shared" si="34"/>
        <v>4812.5</v>
      </c>
      <c r="K150" s="316">
        <v>2031</v>
      </c>
      <c r="L150" s="374">
        <f>IF(B150="repair &amp; replace",VLOOKUP(K150,RR_ENR,2,FALSE),VLOOKUP(B150,CIP_Summary,'CIP Summary'!$H$6,FALSE))</f>
        <v>0</v>
      </c>
      <c r="M150" s="86">
        <f t="shared" si="35"/>
        <v>7279.3380508652217</v>
      </c>
      <c r="N150" s="340">
        <f t="shared" si="36"/>
        <v>0</v>
      </c>
      <c r="O150" s="228">
        <f t="shared" si="37"/>
        <v>661.75800462411098</v>
      </c>
      <c r="P150" s="180">
        <f>IF(B150="Repair &amp; Replace",0,VLOOKUP(B150,CIP_Summary,'CIP Summary'!$M$6,FALSE))</f>
        <v>0</v>
      </c>
      <c r="Q150" s="180">
        <f>IF(B150="repair &amp; replace",RR_Construction,VLOOKUP(B150,CIP_Summary,'CIP Summary'!$N$6,FALSE))</f>
        <v>6</v>
      </c>
      <c r="R150" s="180">
        <f>IF(B150="repair &amp; replace",RR_Float,VLOOKUP(B150,CIP_Summary,'CIP Summary'!$O$6,FALSE))</f>
        <v>6</v>
      </c>
      <c r="S150" s="90">
        <f t="shared" si="38"/>
        <v>2030</v>
      </c>
      <c r="T150" s="90">
        <f t="shared" si="39"/>
        <v>2030</v>
      </c>
    </row>
    <row r="151" spans="1:20" x14ac:dyDescent="0.3">
      <c r="A151" s="56">
        <v>163</v>
      </c>
      <c r="B151" s="58" t="s">
        <v>96</v>
      </c>
      <c r="C151" s="57" t="s">
        <v>119</v>
      </c>
      <c r="D151" s="58" t="s">
        <v>158</v>
      </c>
      <c r="E151" s="317">
        <v>7000</v>
      </c>
      <c r="F151" s="296" t="s">
        <v>9</v>
      </c>
      <c r="G151" s="228" t="str">
        <f>IF(B151="Repair &amp; Replace",RRCostProjection,VLOOKUP(B151,CIP_Summary,'CIP Summary'!$C$6,FALSE))</f>
        <v>Escalation</v>
      </c>
      <c r="H151" s="228">
        <f t="shared" si="32"/>
        <v>0</v>
      </c>
      <c r="I151" s="314">
        <f t="shared" si="33"/>
        <v>700</v>
      </c>
      <c r="J151" s="314">
        <f t="shared" si="34"/>
        <v>7700.0000000000009</v>
      </c>
      <c r="K151" s="316">
        <v>2032</v>
      </c>
      <c r="L151" s="374">
        <f>IF(B151="repair &amp; replace",VLOOKUP(K151,RR_ENR,2,FALSE),VLOOKUP(B151,CIP_Summary,'CIP Summary'!$H$6,FALSE))</f>
        <v>0</v>
      </c>
      <c r="M151" s="86">
        <f t="shared" si="35"/>
        <v>11996.349107825887</v>
      </c>
      <c r="N151" s="340">
        <f t="shared" si="36"/>
        <v>0</v>
      </c>
      <c r="O151" s="228">
        <f t="shared" si="37"/>
        <v>1090.5771916205349</v>
      </c>
      <c r="P151" s="180">
        <f>IF(B151="Repair &amp; Replace",0,VLOOKUP(B151,CIP_Summary,'CIP Summary'!$M$6,FALSE))</f>
        <v>0</v>
      </c>
      <c r="Q151" s="180">
        <f>IF(B151="repair &amp; replace",RR_Construction,VLOOKUP(B151,CIP_Summary,'CIP Summary'!$N$6,FALSE))</f>
        <v>6</v>
      </c>
      <c r="R151" s="180">
        <f>IF(B151="repair &amp; replace",RR_Float,VLOOKUP(B151,CIP_Summary,'CIP Summary'!$O$6,FALSE))</f>
        <v>6</v>
      </c>
      <c r="S151" s="90">
        <f t="shared" si="38"/>
        <v>2031</v>
      </c>
      <c r="T151" s="90">
        <f t="shared" si="39"/>
        <v>2031</v>
      </c>
    </row>
    <row r="152" spans="1:20" x14ac:dyDescent="0.3">
      <c r="A152" s="56">
        <v>164</v>
      </c>
      <c r="B152" s="58" t="s">
        <v>96</v>
      </c>
      <c r="C152" s="57" t="s">
        <v>119</v>
      </c>
      <c r="D152" s="58" t="s">
        <v>159</v>
      </c>
      <c r="E152" s="317">
        <v>4375</v>
      </c>
      <c r="F152" s="296" t="s">
        <v>9</v>
      </c>
      <c r="G152" s="228" t="str">
        <f>IF(B152="Repair &amp; Replace",RRCostProjection,VLOOKUP(B152,CIP_Summary,'CIP Summary'!$C$6,FALSE))</f>
        <v>Escalation</v>
      </c>
      <c r="H152" s="228">
        <f t="shared" si="32"/>
        <v>0</v>
      </c>
      <c r="I152" s="314">
        <f t="shared" si="33"/>
        <v>437.5</v>
      </c>
      <c r="J152" s="314">
        <f t="shared" si="34"/>
        <v>4812.5</v>
      </c>
      <c r="K152" s="316">
        <v>2032</v>
      </c>
      <c r="L152" s="374">
        <f>IF(B152="repair &amp; replace",VLOOKUP(K152,RR_ENR,2,FALSE),VLOOKUP(B152,CIP_Summary,'CIP Summary'!$H$6,FALSE))</f>
        <v>0</v>
      </c>
      <c r="M152" s="86">
        <f t="shared" si="35"/>
        <v>7497.7181923911785</v>
      </c>
      <c r="N152" s="340">
        <f t="shared" si="36"/>
        <v>0</v>
      </c>
      <c r="O152" s="228">
        <f t="shared" si="37"/>
        <v>681.61074476283443</v>
      </c>
      <c r="P152" s="180">
        <f>IF(B152="Repair &amp; Replace",0,VLOOKUP(B152,CIP_Summary,'CIP Summary'!$M$6,FALSE))</f>
        <v>0</v>
      </c>
      <c r="Q152" s="180">
        <f>IF(B152="repair &amp; replace",RR_Construction,VLOOKUP(B152,CIP_Summary,'CIP Summary'!$N$6,FALSE))</f>
        <v>6</v>
      </c>
      <c r="R152" s="180">
        <f>IF(B152="repair &amp; replace",RR_Float,VLOOKUP(B152,CIP_Summary,'CIP Summary'!$O$6,FALSE))</f>
        <v>6</v>
      </c>
      <c r="S152" s="90">
        <f t="shared" si="38"/>
        <v>2031</v>
      </c>
      <c r="T152" s="90">
        <f t="shared" si="39"/>
        <v>2031</v>
      </c>
    </row>
    <row r="153" spans="1:20" x14ac:dyDescent="0.3">
      <c r="A153" s="56">
        <v>165</v>
      </c>
      <c r="B153" s="58" t="s">
        <v>96</v>
      </c>
      <c r="C153" s="57" t="s">
        <v>119</v>
      </c>
      <c r="D153" s="58" t="s">
        <v>158</v>
      </c>
      <c r="E153" s="317">
        <v>7000</v>
      </c>
      <c r="F153" s="296" t="s">
        <v>9</v>
      </c>
      <c r="G153" s="228" t="str">
        <f>IF(B153="Repair &amp; Replace",RRCostProjection,VLOOKUP(B153,CIP_Summary,'CIP Summary'!$C$6,FALSE))</f>
        <v>Escalation</v>
      </c>
      <c r="H153" s="228">
        <f t="shared" si="32"/>
        <v>0</v>
      </c>
      <c r="I153" s="314">
        <f t="shared" si="33"/>
        <v>700</v>
      </c>
      <c r="J153" s="314">
        <f t="shared" si="34"/>
        <v>7700.0000000000009</v>
      </c>
      <c r="K153" s="316">
        <v>2033</v>
      </c>
      <c r="L153" s="374">
        <f>IF(B153="repair &amp; replace",VLOOKUP(K153,RR_ENR,2,FALSE),VLOOKUP(B153,CIP_Summary,'CIP Summary'!$H$6,FALSE))</f>
        <v>0</v>
      </c>
      <c r="M153" s="86">
        <f t="shared" si="35"/>
        <v>12356.239581060661</v>
      </c>
      <c r="N153" s="340">
        <f t="shared" si="36"/>
        <v>0</v>
      </c>
      <c r="O153" s="228">
        <f t="shared" si="37"/>
        <v>1123.294507369151</v>
      </c>
      <c r="P153" s="180">
        <f>IF(B153="Repair &amp; Replace",0,VLOOKUP(B153,CIP_Summary,'CIP Summary'!$M$6,FALSE))</f>
        <v>0</v>
      </c>
      <c r="Q153" s="180">
        <f>IF(B153="repair &amp; replace",RR_Construction,VLOOKUP(B153,CIP_Summary,'CIP Summary'!$N$6,FALSE))</f>
        <v>6</v>
      </c>
      <c r="R153" s="180">
        <f>IF(B153="repair &amp; replace",RR_Float,VLOOKUP(B153,CIP_Summary,'CIP Summary'!$O$6,FALSE))</f>
        <v>6</v>
      </c>
      <c r="S153" s="90">
        <f t="shared" si="38"/>
        <v>2032</v>
      </c>
      <c r="T153" s="90">
        <f t="shared" si="39"/>
        <v>2032</v>
      </c>
    </row>
    <row r="154" spans="1:20" x14ac:dyDescent="0.3">
      <c r="A154" s="56">
        <v>166</v>
      </c>
      <c r="B154" s="58" t="s">
        <v>96</v>
      </c>
      <c r="C154" s="57" t="s">
        <v>119</v>
      </c>
      <c r="D154" s="58" t="s">
        <v>159</v>
      </c>
      <c r="E154" s="317">
        <v>4375</v>
      </c>
      <c r="F154" s="296" t="s">
        <v>9</v>
      </c>
      <c r="G154" s="228" t="str">
        <f>IF(B154="Repair &amp; Replace",RRCostProjection,VLOOKUP(B154,CIP_Summary,'CIP Summary'!$C$6,FALSE))</f>
        <v>Escalation</v>
      </c>
      <c r="H154" s="228">
        <f t="shared" si="32"/>
        <v>0</v>
      </c>
      <c r="I154" s="314">
        <f t="shared" si="33"/>
        <v>437.5</v>
      </c>
      <c r="J154" s="314">
        <f t="shared" si="34"/>
        <v>4812.5</v>
      </c>
      <c r="K154" s="316">
        <v>2033</v>
      </c>
      <c r="L154" s="374">
        <f>IF(B154="repair &amp; replace",VLOOKUP(K154,RR_ENR,2,FALSE),VLOOKUP(B154,CIP_Summary,'CIP Summary'!$H$6,FALSE))</f>
        <v>0</v>
      </c>
      <c r="M154" s="86">
        <f t="shared" si="35"/>
        <v>7722.6497381629124</v>
      </c>
      <c r="N154" s="340">
        <f t="shared" si="36"/>
        <v>0</v>
      </c>
      <c r="O154" s="228">
        <f t="shared" si="37"/>
        <v>702.05906710571935</v>
      </c>
      <c r="P154" s="180">
        <f>IF(B154="Repair &amp; Replace",0,VLOOKUP(B154,CIP_Summary,'CIP Summary'!$M$6,FALSE))</f>
        <v>0</v>
      </c>
      <c r="Q154" s="180">
        <f>IF(B154="repair &amp; replace",RR_Construction,VLOOKUP(B154,CIP_Summary,'CIP Summary'!$N$6,FALSE))</f>
        <v>6</v>
      </c>
      <c r="R154" s="180">
        <f>IF(B154="repair &amp; replace",RR_Float,VLOOKUP(B154,CIP_Summary,'CIP Summary'!$O$6,FALSE))</f>
        <v>6</v>
      </c>
      <c r="S154" s="90">
        <f t="shared" si="38"/>
        <v>2032</v>
      </c>
      <c r="T154" s="90">
        <f t="shared" si="39"/>
        <v>2032</v>
      </c>
    </row>
    <row r="155" spans="1:20" x14ac:dyDescent="0.3">
      <c r="A155" s="56">
        <v>167</v>
      </c>
      <c r="B155" s="58" t="s">
        <v>96</v>
      </c>
      <c r="C155" s="57" t="s">
        <v>119</v>
      </c>
      <c r="D155" s="58" t="s">
        <v>158</v>
      </c>
      <c r="E155" s="317">
        <v>7000</v>
      </c>
      <c r="F155" s="296" t="s">
        <v>9</v>
      </c>
      <c r="G155" s="228" t="str">
        <f>IF(B155="Repair &amp; Replace",RRCostProjection,VLOOKUP(B155,CIP_Summary,'CIP Summary'!$C$6,FALSE))</f>
        <v>Escalation</v>
      </c>
      <c r="H155" s="228">
        <f t="shared" si="32"/>
        <v>0</v>
      </c>
      <c r="I155" s="314">
        <f t="shared" si="33"/>
        <v>700</v>
      </c>
      <c r="J155" s="314">
        <f t="shared" si="34"/>
        <v>7700.0000000000009</v>
      </c>
      <c r="K155" s="316">
        <v>2034</v>
      </c>
      <c r="L155" s="374">
        <f>IF(B155="repair &amp; replace",VLOOKUP(K155,RR_ENR,2,FALSE),VLOOKUP(B155,CIP_Summary,'CIP Summary'!$H$6,FALSE))</f>
        <v>0</v>
      </c>
      <c r="M155" s="86">
        <f t="shared" si="35"/>
        <v>12726.926768492482</v>
      </c>
      <c r="N155" s="340">
        <f t="shared" si="36"/>
        <v>0</v>
      </c>
      <c r="O155" s="228">
        <f t="shared" si="37"/>
        <v>1156.9933425902254</v>
      </c>
      <c r="P155" s="180">
        <f>IF(B155="Repair &amp; Replace",0,VLOOKUP(B155,CIP_Summary,'CIP Summary'!$M$6,FALSE))</f>
        <v>0</v>
      </c>
      <c r="Q155" s="180">
        <f>IF(B155="repair &amp; replace",RR_Construction,VLOOKUP(B155,CIP_Summary,'CIP Summary'!$N$6,FALSE))</f>
        <v>6</v>
      </c>
      <c r="R155" s="180">
        <f>IF(B155="repair &amp; replace",RR_Float,VLOOKUP(B155,CIP_Summary,'CIP Summary'!$O$6,FALSE))</f>
        <v>6</v>
      </c>
      <c r="S155" s="90">
        <f t="shared" si="38"/>
        <v>2033</v>
      </c>
      <c r="T155" s="90">
        <f t="shared" si="39"/>
        <v>2033</v>
      </c>
    </row>
    <row r="156" spans="1:20" x14ac:dyDescent="0.3">
      <c r="A156" s="56">
        <v>168</v>
      </c>
      <c r="B156" s="58" t="s">
        <v>96</v>
      </c>
      <c r="C156" s="57" t="s">
        <v>119</v>
      </c>
      <c r="D156" s="58" t="s">
        <v>159</v>
      </c>
      <c r="E156" s="317">
        <v>4375</v>
      </c>
      <c r="F156" s="296" t="s">
        <v>9</v>
      </c>
      <c r="G156" s="228" t="str">
        <f>IF(B156="Repair &amp; Replace",RRCostProjection,VLOOKUP(B156,CIP_Summary,'CIP Summary'!$C$6,FALSE))</f>
        <v>Escalation</v>
      </c>
      <c r="H156" s="228">
        <f t="shared" si="32"/>
        <v>0</v>
      </c>
      <c r="I156" s="314">
        <f t="shared" si="33"/>
        <v>437.5</v>
      </c>
      <c r="J156" s="314">
        <f t="shared" si="34"/>
        <v>4812.5</v>
      </c>
      <c r="K156" s="316">
        <v>2034</v>
      </c>
      <c r="L156" s="374">
        <f>IF(B156="repair &amp; replace",VLOOKUP(K156,RR_ENR,2,FALSE),VLOOKUP(B156,CIP_Summary,'CIP Summary'!$H$6,FALSE))</f>
        <v>0</v>
      </c>
      <c r="M156" s="86">
        <f t="shared" si="35"/>
        <v>7954.3292303078006</v>
      </c>
      <c r="N156" s="340">
        <f t="shared" si="36"/>
        <v>0</v>
      </c>
      <c r="O156" s="228">
        <f t="shared" si="37"/>
        <v>723.1208391188909</v>
      </c>
      <c r="P156" s="180">
        <f>IF(B156="Repair &amp; Replace",0,VLOOKUP(B156,CIP_Summary,'CIP Summary'!$M$6,FALSE))</f>
        <v>0</v>
      </c>
      <c r="Q156" s="180">
        <f>IF(B156="repair &amp; replace",RR_Construction,VLOOKUP(B156,CIP_Summary,'CIP Summary'!$N$6,FALSE))</f>
        <v>6</v>
      </c>
      <c r="R156" s="180">
        <f>IF(B156="repair &amp; replace",RR_Float,VLOOKUP(B156,CIP_Summary,'CIP Summary'!$O$6,FALSE))</f>
        <v>6</v>
      </c>
      <c r="S156" s="90">
        <f t="shared" si="38"/>
        <v>2033</v>
      </c>
      <c r="T156" s="90">
        <f t="shared" si="39"/>
        <v>2033</v>
      </c>
    </row>
    <row r="157" spans="1:20" x14ac:dyDescent="0.3">
      <c r="A157" s="56">
        <v>169</v>
      </c>
      <c r="B157" s="58" t="s">
        <v>96</v>
      </c>
      <c r="C157" s="57" t="s">
        <v>119</v>
      </c>
      <c r="D157" s="58" t="s">
        <v>158</v>
      </c>
      <c r="E157" s="317">
        <v>7000</v>
      </c>
      <c r="F157" s="296" t="s">
        <v>9</v>
      </c>
      <c r="G157" s="228" t="str">
        <f>IF(B157="Repair &amp; Replace",RRCostProjection,VLOOKUP(B157,CIP_Summary,'CIP Summary'!$C$6,FALSE))</f>
        <v>Escalation</v>
      </c>
      <c r="H157" s="228">
        <f t="shared" si="32"/>
        <v>0</v>
      </c>
      <c r="I157" s="314">
        <f t="shared" si="33"/>
        <v>700</v>
      </c>
      <c r="J157" s="314">
        <f t="shared" si="34"/>
        <v>7700.0000000000009</v>
      </c>
      <c r="K157" s="316">
        <v>2035</v>
      </c>
      <c r="L157" s="374">
        <f>IF(B157="repair &amp; replace",VLOOKUP(K157,RR_ENR,2,FALSE),VLOOKUP(B157,CIP_Summary,'CIP Summary'!$H$6,FALSE))</f>
        <v>0</v>
      </c>
      <c r="M157" s="86">
        <f t="shared" si="35"/>
        <v>13108.734571547257</v>
      </c>
      <c r="N157" s="340">
        <f t="shared" si="36"/>
        <v>0</v>
      </c>
      <c r="O157" s="228">
        <f t="shared" si="37"/>
        <v>1191.7031428679322</v>
      </c>
      <c r="P157" s="180">
        <f>IF(B157="Repair &amp; Replace",0,VLOOKUP(B157,CIP_Summary,'CIP Summary'!$M$6,FALSE))</f>
        <v>0</v>
      </c>
      <c r="Q157" s="180">
        <f>IF(B157="repair &amp; replace",RR_Construction,VLOOKUP(B157,CIP_Summary,'CIP Summary'!$N$6,FALSE))</f>
        <v>6</v>
      </c>
      <c r="R157" s="180">
        <f>IF(B157="repair &amp; replace",RR_Float,VLOOKUP(B157,CIP_Summary,'CIP Summary'!$O$6,FALSE))</f>
        <v>6</v>
      </c>
      <c r="S157" s="90">
        <f t="shared" si="38"/>
        <v>2034</v>
      </c>
      <c r="T157" s="90">
        <f t="shared" si="39"/>
        <v>2034</v>
      </c>
    </row>
    <row r="158" spans="1:20" x14ac:dyDescent="0.3">
      <c r="A158" s="56">
        <v>170</v>
      </c>
      <c r="B158" s="58" t="s">
        <v>96</v>
      </c>
      <c r="C158" s="57" t="s">
        <v>119</v>
      </c>
      <c r="D158" s="58" t="s">
        <v>159</v>
      </c>
      <c r="E158" s="317">
        <v>4375</v>
      </c>
      <c r="F158" s="296" t="s">
        <v>9</v>
      </c>
      <c r="G158" s="228" t="str">
        <f>IF(B158="Repair &amp; Replace",RRCostProjection,VLOOKUP(B158,CIP_Summary,'CIP Summary'!$C$6,FALSE))</f>
        <v>Escalation</v>
      </c>
      <c r="H158" s="228">
        <f t="shared" si="32"/>
        <v>0</v>
      </c>
      <c r="I158" s="314">
        <f t="shared" si="33"/>
        <v>437.5</v>
      </c>
      <c r="J158" s="314">
        <f t="shared" si="34"/>
        <v>4812.5</v>
      </c>
      <c r="K158" s="316">
        <v>2035</v>
      </c>
      <c r="L158" s="374">
        <f>IF(B158="repair &amp; replace",VLOOKUP(K158,RR_ENR,2,FALSE),VLOOKUP(B158,CIP_Summary,'CIP Summary'!$H$6,FALSE))</f>
        <v>0</v>
      </c>
      <c r="M158" s="86">
        <f t="shared" si="35"/>
        <v>8192.9591072170351</v>
      </c>
      <c r="N158" s="340">
        <f t="shared" si="36"/>
        <v>0</v>
      </c>
      <c r="O158" s="228">
        <f t="shared" si="37"/>
        <v>744.81446429245773</v>
      </c>
      <c r="P158" s="180">
        <f>IF(B158="Repair &amp; Replace",0,VLOOKUP(B158,CIP_Summary,'CIP Summary'!$M$6,FALSE))</f>
        <v>0</v>
      </c>
      <c r="Q158" s="180">
        <f>IF(B158="repair &amp; replace",RR_Construction,VLOOKUP(B158,CIP_Summary,'CIP Summary'!$N$6,FALSE))</f>
        <v>6</v>
      </c>
      <c r="R158" s="180">
        <f>IF(B158="repair &amp; replace",RR_Float,VLOOKUP(B158,CIP_Summary,'CIP Summary'!$O$6,FALSE))</f>
        <v>6</v>
      </c>
      <c r="S158" s="90">
        <f t="shared" si="38"/>
        <v>2034</v>
      </c>
      <c r="T158" s="90">
        <f t="shared" si="39"/>
        <v>2034</v>
      </c>
    </row>
    <row r="159" spans="1:20" x14ac:dyDescent="0.3">
      <c r="A159" s="56">
        <v>171</v>
      </c>
      <c r="B159" s="58" t="s">
        <v>96</v>
      </c>
      <c r="C159" s="57" t="s">
        <v>119</v>
      </c>
      <c r="D159" s="58" t="s">
        <v>158</v>
      </c>
      <c r="E159" s="317">
        <v>7000</v>
      </c>
      <c r="F159" s="296" t="s">
        <v>9</v>
      </c>
      <c r="G159" s="228" t="str">
        <f>IF(B159="Repair &amp; Replace",RRCostProjection,VLOOKUP(B159,CIP_Summary,'CIP Summary'!$C$6,FALSE))</f>
        <v>Escalation</v>
      </c>
      <c r="H159" s="228">
        <f t="shared" si="32"/>
        <v>0</v>
      </c>
      <c r="I159" s="314">
        <f t="shared" si="33"/>
        <v>700</v>
      </c>
      <c r="J159" s="314">
        <f t="shared" si="34"/>
        <v>7700.0000000000009</v>
      </c>
      <c r="K159" s="316">
        <v>2036</v>
      </c>
      <c r="L159" s="374">
        <f>IF(B159="repair &amp; replace",VLOOKUP(K159,RR_ENR,2,FALSE),VLOOKUP(B159,CIP_Summary,'CIP Summary'!$H$6,FALSE))</f>
        <v>0</v>
      </c>
      <c r="M159" s="86">
        <f t="shared" si="35"/>
        <v>13501.996608693673</v>
      </c>
      <c r="N159" s="340">
        <f t="shared" si="36"/>
        <v>0</v>
      </c>
      <c r="O159" s="228">
        <f t="shared" si="37"/>
        <v>1227.4542371539703</v>
      </c>
      <c r="P159" s="180">
        <f>IF(B159="Repair &amp; Replace",0,VLOOKUP(B159,CIP_Summary,'CIP Summary'!$M$6,FALSE))</f>
        <v>0</v>
      </c>
      <c r="Q159" s="180">
        <f>IF(B159="repair &amp; replace",RR_Construction,VLOOKUP(B159,CIP_Summary,'CIP Summary'!$N$6,FALSE))</f>
        <v>6</v>
      </c>
      <c r="R159" s="180">
        <f>IF(B159="repair &amp; replace",RR_Float,VLOOKUP(B159,CIP_Summary,'CIP Summary'!$O$6,FALSE))</f>
        <v>6</v>
      </c>
      <c r="S159" s="90">
        <f t="shared" si="38"/>
        <v>2035</v>
      </c>
      <c r="T159" s="90">
        <f t="shared" si="39"/>
        <v>2035</v>
      </c>
    </row>
    <row r="160" spans="1:20" x14ac:dyDescent="0.3">
      <c r="A160" s="56">
        <v>172</v>
      </c>
      <c r="B160" s="58" t="s">
        <v>96</v>
      </c>
      <c r="C160" s="57" t="s">
        <v>119</v>
      </c>
      <c r="D160" s="58" t="s">
        <v>159</v>
      </c>
      <c r="E160" s="317">
        <v>4375</v>
      </c>
      <c r="F160" s="296" t="s">
        <v>9</v>
      </c>
      <c r="G160" s="228" t="str">
        <f>IF(B160="Repair &amp; Replace",RRCostProjection,VLOOKUP(B160,CIP_Summary,'CIP Summary'!$C$6,FALSE))</f>
        <v>Escalation</v>
      </c>
      <c r="H160" s="228">
        <f t="shared" si="32"/>
        <v>0</v>
      </c>
      <c r="I160" s="314">
        <f t="shared" si="33"/>
        <v>437.5</v>
      </c>
      <c r="J160" s="314">
        <f t="shared" si="34"/>
        <v>4812.5</v>
      </c>
      <c r="K160" s="325">
        <v>2036</v>
      </c>
      <c r="L160" s="374">
        <f>IF(B160="repair &amp; replace",VLOOKUP(K160,RR_ENR,2,FALSE),VLOOKUP(B160,CIP_Summary,'CIP Summary'!$H$6,FALSE))</f>
        <v>0</v>
      </c>
      <c r="M160" s="86">
        <f t="shared" si="35"/>
        <v>8438.7478804335442</v>
      </c>
      <c r="N160" s="340">
        <f t="shared" si="36"/>
        <v>0</v>
      </c>
      <c r="O160" s="228">
        <f t="shared" si="37"/>
        <v>767.15889822123131</v>
      </c>
      <c r="P160" s="180">
        <f>IF(B160="Repair &amp; Replace",0,VLOOKUP(B160,CIP_Summary,'CIP Summary'!$M$6,FALSE))</f>
        <v>0</v>
      </c>
      <c r="Q160" s="180">
        <f>IF(B160="repair &amp; replace",RR_Construction,VLOOKUP(B160,CIP_Summary,'CIP Summary'!$N$6,FALSE))</f>
        <v>6</v>
      </c>
      <c r="R160" s="180">
        <f>IF(B160="repair &amp; replace",RR_Float,VLOOKUP(B160,CIP_Summary,'CIP Summary'!$O$6,FALSE))</f>
        <v>6</v>
      </c>
      <c r="S160" s="90">
        <f t="shared" si="38"/>
        <v>2035</v>
      </c>
      <c r="T160" s="90">
        <f t="shared" si="39"/>
        <v>2035</v>
      </c>
    </row>
    <row r="161" spans="1:20" ht="28.2" x14ac:dyDescent="0.3">
      <c r="A161" s="56">
        <v>173</v>
      </c>
      <c r="B161" s="58" t="s">
        <v>219</v>
      </c>
      <c r="C161" s="57" t="s">
        <v>46</v>
      </c>
      <c r="D161" s="58" t="s">
        <v>257</v>
      </c>
      <c r="E161" s="317">
        <f>E67</f>
        <v>4896098</v>
      </c>
      <c r="F161" s="296" t="s">
        <v>10</v>
      </c>
      <c r="G161" s="228" t="str">
        <f>IF(B161="Repair &amp; Replace",RRCostProjection,VLOOKUP(B161,CIP_Summary,'CIP Summary'!$C$6,FALSE))</f>
        <v>Escalation</v>
      </c>
      <c r="H161" s="228">
        <f t="shared" si="32"/>
        <v>734414.7</v>
      </c>
      <c r="I161" s="314">
        <f t="shared" si="33"/>
        <v>489609.80000000005</v>
      </c>
      <c r="J161" s="314">
        <f t="shared" si="34"/>
        <v>6120122.5</v>
      </c>
      <c r="K161" s="316">
        <f>VLOOKUP(B161,CIP_Summary,'CIP Summary'!$G$6,FALSE)</f>
        <v>2034</v>
      </c>
      <c r="L161" s="374">
        <f>IF(B161="repair &amp; replace",VLOOKUP(K161,RR_ENR,2,FALSE),VLOOKUP(B161,CIP_Summary,'CIP Summary'!$H$6,FALSE))</f>
        <v>0</v>
      </c>
      <c r="M161" s="86">
        <f t="shared" si="35"/>
        <v>10115629.983338067</v>
      </c>
      <c r="N161" s="340">
        <f t="shared" si="36"/>
        <v>1213875.5980005681</v>
      </c>
      <c r="O161" s="228">
        <f t="shared" si="37"/>
        <v>809250.39866704552</v>
      </c>
      <c r="P161" s="180">
        <f>IF(B161="Repair &amp; Replace",0,VLOOKUP(B161,CIP_Summary,'CIP Summary'!$M$6,FALSE))</f>
        <v>12</v>
      </c>
      <c r="Q161" s="180">
        <f>IF(B161="repair &amp; replace",RR_Construction,VLOOKUP(B161,CIP_Summary,'CIP Summary'!$N$6,FALSE))</f>
        <v>24</v>
      </c>
      <c r="R161" s="180">
        <f>IF(B161="repair &amp; replace",RR_Float,VLOOKUP(B161,CIP_Summary,'CIP Summary'!$O$6,FALSE))</f>
        <v>6</v>
      </c>
      <c r="S161" s="90">
        <f t="shared" si="38"/>
        <v>2030</v>
      </c>
      <c r="T161" s="90">
        <f t="shared" si="39"/>
        <v>2031</v>
      </c>
    </row>
    <row r="162" spans="1:20" ht="28.2" x14ac:dyDescent="0.3">
      <c r="A162" s="56">
        <v>174</v>
      </c>
      <c r="B162" s="58" t="s">
        <v>218</v>
      </c>
      <c r="C162" s="57" t="s">
        <v>46</v>
      </c>
      <c r="D162" s="58" t="s">
        <v>312</v>
      </c>
      <c r="E162" s="317">
        <v>50000</v>
      </c>
      <c r="F162" s="296" t="s">
        <v>10</v>
      </c>
      <c r="G162" s="228" t="str">
        <f>IF(B162="Repair &amp; Replace",RRCostProjection,VLOOKUP(B162,CIP_Summary,'CIP Summary'!$C$6,FALSE))</f>
        <v>Escalation</v>
      </c>
      <c r="H162" s="228">
        <f t="shared" ref="H162" si="40">IF(F162="Yes",E162*(Design),0)</f>
        <v>7500</v>
      </c>
      <c r="I162" s="314">
        <f t="shared" ref="I162" si="41">E162*(Admin)</f>
        <v>5000</v>
      </c>
      <c r="J162" s="314">
        <f t="shared" ref="J162" si="42">E162*IF(F162="yes",(1+Design+Admin),IF(F162="No",(1+Admin),"Check"))</f>
        <v>62500</v>
      </c>
      <c r="K162" s="316">
        <f>VLOOKUP(B162,CIP_Summary,'CIP Summary'!$G$6,FALSE)</f>
        <v>2021</v>
      </c>
      <c r="L162" s="374">
        <f>IF(B162="repair &amp; replace",VLOOKUP(K162,RR_ENR,2,FALSE),VLOOKUP(B162,CIP_Summary,'CIP Summary'!$H$6,FALSE))</f>
        <v>0</v>
      </c>
      <c r="M162" s="86">
        <f t="shared" ref="M162" si="43">IF(G162="Escalation",J162*(Escalation_Rate)^(K162-YEAR(estimate_date)),IF(G162="Revised Estimate",((ENR_Revised/ENR)*J162)*Escalation_Rate^(K162-YEAR(Revised_Estimate_Date)),IF(AND(G162="ENR",L162&gt;0),J162*L162/ENR,"Need ENR @ Project Year")))</f>
        <v>70344.300624999989</v>
      </c>
      <c r="N162" s="340">
        <f t="shared" ref="N162" si="44">IF(M162="Need ENR @ Project Year",M162,H162*M162/J162)</f>
        <v>8441.3160749999988</v>
      </c>
      <c r="O162" s="228">
        <f t="shared" ref="O162" si="45">IF(M162="Need ENR @ Project Year",M162,I162*M162/J162)</f>
        <v>5627.5440499999986</v>
      </c>
      <c r="P162" s="180">
        <f>IF(B162="Repair &amp; Replace",0,VLOOKUP(B162,CIP_Summary,'CIP Summary'!$M$6,FALSE))</f>
        <v>12</v>
      </c>
      <c r="Q162" s="180">
        <f>IF(B162="repair &amp; replace",RR_Construction,VLOOKUP(B162,CIP_Summary,'CIP Summary'!$N$6,FALSE))</f>
        <v>18</v>
      </c>
      <c r="R162" s="180">
        <f>IF(B162="repair &amp; replace",RR_Float,VLOOKUP(B162,CIP_Summary,'CIP Summary'!$O$6,FALSE))</f>
        <v>6</v>
      </c>
      <c r="S162" s="90">
        <f t="shared" ref="S162" si="46">ROUNDDOWN(K162-SUM(P162:R162)/12,0)</f>
        <v>2018</v>
      </c>
      <c r="T162" s="90">
        <f t="shared" ref="T162" si="47">ROUNDDOWN(K162-SUM(Q162:R162)/12,0)</f>
        <v>2019</v>
      </c>
    </row>
    <row r="163" spans="1:20" x14ac:dyDescent="0.3">
      <c r="A163" s="66"/>
      <c r="B163" s="73"/>
      <c r="C163" s="67"/>
      <c r="D163" s="73"/>
      <c r="E163" s="74"/>
      <c r="F163" s="68"/>
      <c r="G163" s="68"/>
      <c r="H163" s="227"/>
      <c r="I163" s="227"/>
      <c r="J163" s="227"/>
      <c r="K163" s="247"/>
      <c r="L163" s="247"/>
      <c r="M163" s="248"/>
      <c r="N163" s="287"/>
      <c r="O163" s="288"/>
      <c r="P163" s="249"/>
      <c r="Q163" s="249"/>
      <c r="R163" s="249"/>
      <c r="S163" s="249"/>
      <c r="T163" s="250"/>
    </row>
    <row r="164" spans="1:20" ht="15" customHeight="1" x14ac:dyDescent="0.3">
      <c r="A164" s="275"/>
      <c r="B164" s="49"/>
      <c r="C164" s="7"/>
      <c r="D164" s="49"/>
      <c r="E164" s="49"/>
      <c r="F164" s="51"/>
      <c r="G164" s="51"/>
      <c r="H164" s="50"/>
      <c r="I164" s="50"/>
      <c r="J164" s="50"/>
      <c r="K164" s="258"/>
      <c r="L164" s="258"/>
      <c r="M164" s="258"/>
      <c r="N164" s="50"/>
      <c r="O164" s="50"/>
      <c r="P164" s="258"/>
      <c r="Q164" s="258"/>
      <c r="R164" s="258"/>
      <c r="S164" s="258"/>
      <c r="T164" s="259"/>
    </row>
    <row r="165" spans="1:20" x14ac:dyDescent="0.3">
      <c r="A165" s="224"/>
      <c r="B165" s="225"/>
      <c r="C165" s="226"/>
      <c r="D165" s="125" t="s">
        <v>1</v>
      </c>
      <c r="E165" s="223">
        <f>SUM(E8:E160)</f>
        <v>56193027</v>
      </c>
      <c r="F165" s="223"/>
      <c r="G165" s="223"/>
      <c r="H165" s="286"/>
      <c r="I165" s="286"/>
      <c r="J165" s="223">
        <f>SUM(J8:J160)</f>
        <v>67738302.150000006</v>
      </c>
      <c r="K165" s="260"/>
      <c r="L165" s="261"/>
      <c r="M165" s="261"/>
      <c r="N165" s="286"/>
      <c r="O165" s="286"/>
      <c r="P165" s="261"/>
      <c r="Q165" s="261"/>
      <c r="R165" s="261"/>
      <c r="S165" s="261"/>
      <c r="T165" s="262"/>
    </row>
    <row r="166" spans="1:20" x14ac:dyDescent="0.3">
      <c r="A166" s="275" t="s">
        <v>3</v>
      </c>
      <c r="B166" s="16"/>
      <c r="C166" s="6"/>
      <c r="D166" s="16"/>
      <c r="E166" s="16"/>
      <c r="F166" s="21"/>
      <c r="G166" s="21"/>
      <c r="H166" s="16"/>
      <c r="I166" s="16"/>
      <c r="J166" s="16"/>
      <c r="K166" s="251"/>
      <c r="L166" s="251"/>
      <c r="M166" s="251"/>
      <c r="N166" s="16"/>
      <c r="O166" s="16"/>
      <c r="P166" s="251"/>
      <c r="Q166" s="251"/>
      <c r="R166" s="251"/>
      <c r="S166" s="251"/>
      <c r="T166" s="252"/>
    </row>
    <row r="167" spans="1:20" x14ac:dyDescent="0.3">
      <c r="A167" s="220" t="s">
        <v>2</v>
      </c>
      <c r="B167" s="19"/>
      <c r="C167" s="15" t="str">
        <f>"In "&amp;TEXT(estimate_date,"mm/yy")&amp;" dollars. Assuming "&amp;Design*100&amp;"% contingency for Design and "&amp;Admin*100&amp;"% for legal and administration costs."</f>
        <v>In 09/17 dollars. Assuming 15% contingency for Design and 10% for legal and administration costs.</v>
      </c>
      <c r="D167" s="19"/>
      <c r="E167" s="19"/>
      <c r="F167" s="27"/>
      <c r="G167" s="139"/>
      <c r="H167" s="137"/>
      <c r="I167" s="137"/>
      <c r="J167" s="137"/>
      <c r="K167" s="253"/>
      <c r="L167" s="253"/>
      <c r="M167" s="253"/>
      <c r="N167" s="137"/>
      <c r="O167" s="137"/>
      <c r="P167" s="253"/>
      <c r="Q167" s="253"/>
      <c r="R167" s="253"/>
      <c r="S167" s="253"/>
      <c r="T167" s="254"/>
    </row>
  </sheetData>
  <sheetProtection algorithmName="SHA-512" hashValue="H0T6ITH8uj1Ob3OO8VWKiyBMwZaqEsVzoo3RV4LxRwE4yjzo02LjMz0jURYCRv7nqp5h631HhLdnz58ZRLdTJA==" saltValue="hQ7BJN3Brh4nwxDnzFOOHg==" spinCount="100000" sheet="1" objects="1" scenarios="1" sort="0" autoFilter="0"/>
  <autoFilter ref="A7:T162"/>
  <sortState ref="K172:K251">
    <sortCondition ref="K172"/>
  </sortState>
  <conditionalFormatting sqref="L8:L162">
    <cfRule type="expression" dxfId="22" priority="1">
      <formula>(M8="Need ENR @ Project Year")</formula>
    </cfRule>
  </conditionalFormatting>
  <dataValidations count="1">
    <dataValidation type="list" allowBlank="1" showInputMessage="1" showErrorMessage="1" sqref="F8:F163 G163">
      <formula1>"Yes,No"</formula1>
    </dataValidation>
  </dataValidations>
  <pageMargins left="0.7" right="0.7" top="0.75" bottom="0.75" header="0.3" footer="0.3"/>
  <pageSetup paperSize="17" scale="60" orientation="landscape" r:id="rId1"/>
  <headerFooter>
    <oddHeader>&amp;L&amp;"Arial,Bold"WILLAMETTE RIVER WATER TREATMENT PLANT - 2017 MASTER PLAN UPDATE
CAPITAL IMPROVEMENT PLAN WORKBOOK</oddHeader>
    <oddFooter>&amp;L&amp;"Arial,Regular"&amp;8WRWTP - 2017 MPU CIP Workbook&amp;C&amp;"Arial,Regular"&amp;8&amp;A Sheet&amp;R&amp;"Arial,Regular"&amp;8Page &amp;P of &amp;N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O98"/>
  <sheetViews>
    <sheetView zoomScaleNormal="100" zoomScaleSheetLayoutView="55" workbookViewId="0">
      <selection activeCell="F45" sqref="F45"/>
    </sheetView>
  </sheetViews>
  <sheetFormatPr defaultRowHeight="14.4" x14ac:dyDescent="0.3"/>
  <cols>
    <col min="1" max="1" width="4.33203125" customWidth="1"/>
    <col min="2" max="2" width="18.44140625" customWidth="1"/>
    <col min="3" max="3" width="17.6640625" customWidth="1"/>
    <col min="4" max="4" width="81" customWidth="1"/>
    <col min="5" max="5" width="13.33203125" customWidth="1"/>
    <col min="6" max="6" width="9.5546875" bestFit="1" customWidth="1"/>
    <col min="7" max="7" width="12.44140625" customWidth="1"/>
    <col min="8" max="8" width="13.6640625" customWidth="1"/>
    <col min="9" max="9" width="14.6640625" customWidth="1"/>
    <col min="10" max="10" width="30.109375" customWidth="1"/>
    <col min="11" max="11" width="17.6640625" customWidth="1"/>
    <col min="12" max="12" width="48.33203125" customWidth="1"/>
    <col min="13" max="13" width="13.33203125" customWidth="1"/>
    <col min="14" max="14" width="9.5546875" bestFit="1" customWidth="1"/>
    <col min="15" max="15" width="12.44140625" customWidth="1"/>
    <col min="16" max="16" width="12.33203125" bestFit="1" customWidth="1"/>
  </cols>
  <sheetData>
    <row r="1" spans="1:7" x14ac:dyDescent="0.3">
      <c r="A1" s="95" t="s">
        <v>174</v>
      </c>
      <c r="B1" s="96"/>
      <c r="C1" s="93"/>
      <c r="D1" s="93"/>
    </row>
    <row r="2" spans="1:7" x14ac:dyDescent="0.3">
      <c r="A2" s="95" t="s">
        <v>167</v>
      </c>
      <c r="B2" s="96"/>
      <c r="C2" s="93"/>
      <c r="D2" s="93"/>
    </row>
    <row r="3" spans="1:7" x14ac:dyDescent="0.3">
      <c r="A3" s="97" t="s">
        <v>227</v>
      </c>
      <c r="B3" s="98"/>
      <c r="C3" s="211"/>
      <c r="D3" s="93"/>
    </row>
    <row r="4" spans="1:7" x14ac:dyDescent="0.3">
      <c r="A4" s="97"/>
      <c r="B4" s="98"/>
      <c r="C4" s="175"/>
      <c r="D4" s="93"/>
    </row>
    <row r="5" spans="1:7" x14ac:dyDescent="0.3">
      <c r="A5" s="425" t="s">
        <v>221</v>
      </c>
      <c r="B5" s="425"/>
      <c r="C5" s="204" t="s">
        <v>218</v>
      </c>
      <c r="D5" s="93"/>
    </row>
    <row r="6" spans="1:7" x14ac:dyDescent="0.3">
      <c r="A6" s="426" t="s">
        <v>222</v>
      </c>
      <c r="B6" s="426"/>
      <c r="C6" s="92" t="s">
        <v>168</v>
      </c>
      <c r="D6" s="93"/>
    </row>
    <row r="7" spans="1:7" ht="14.4" customHeight="1" x14ac:dyDescent="0.3">
      <c r="A7" s="427" t="s">
        <v>28</v>
      </c>
      <c r="B7" s="427"/>
      <c r="C7" s="428" t="s">
        <v>281</v>
      </c>
      <c r="D7" s="428"/>
      <c r="E7" s="428"/>
      <c r="F7" s="428"/>
      <c r="G7" s="428"/>
    </row>
    <row r="8" spans="1:7" x14ac:dyDescent="0.3">
      <c r="A8" s="99"/>
      <c r="B8" s="99"/>
      <c r="C8" s="428"/>
      <c r="D8" s="428"/>
      <c r="E8" s="428"/>
      <c r="F8" s="428"/>
      <c r="G8" s="428"/>
    </row>
    <row r="9" spans="1:7" x14ac:dyDescent="0.3">
      <c r="A9" s="99"/>
      <c r="B9" s="99"/>
      <c r="C9" s="428"/>
      <c r="D9" s="428"/>
      <c r="E9" s="428"/>
      <c r="F9" s="428"/>
      <c r="G9" s="428"/>
    </row>
    <row r="10" spans="1:7" x14ac:dyDescent="0.3">
      <c r="A10" s="99"/>
      <c r="B10" s="99"/>
      <c r="C10" s="428"/>
      <c r="D10" s="428"/>
      <c r="E10" s="428"/>
      <c r="F10" s="428"/>
      <c r="G10" s="428"/>
    </row>
    <row r="11" spans="1:7" x14ac:dyDescent="0.3">
      <c r="B11" s="99"/>
      <c r="C11" s="428"/>
      <c r="D11" s="428"/>
      <c r="E11" s="428"/>
      <c r="F11" s="428"/>
      <c r="G11" s="428"/>
    </row>
    <row r="12" spans="1:7" x14ac:dyDescent="0.3">
      <c r="A12" s="99"/>
      <c r="B12" s="99"/>
      <c r="C12" s="428"/>
      <c r="D12" s="428"/>
      <c r="E12" s="428"/>
      <c r="F12" s="428"/>
      <c r="G12" s="428"/>
    </row>
    <row r="13" spans="1:7" x14ac:dyDescent="0.3">
      <c r="A13" s="99"/>
      <c r="B13" s="99"/>
      <c r="C13" s="428"/>
      <c r="D13" s="428"/>
      <c r="E13" s="428"/>
      <c r="F13" s="428"/>
      <c r="G13" s="428"/>
    </row>
    <row r="14" spans="1:7" x14ac:dyDescent="0.3">
      <c r="A14" s="99"/>
      <c r="B14" s="99"/>
      <c r="C14" s="428"/>
      <c r="D14" s="428"/>
      <c r="E14" s="428"/>
      <c r="F14" s="428"/>
      <c r="G14" s="428"/>
    </row>
    <row r="15" spans="1:7" x14ac:dyDescent="0.3">
      <c r="A15" s="99"/>
      <c r="B15" s="99"/>
      <c r="C15" s="428"/>
      <c r="D15" s="428"/>
      <c r="E15" s="428"/>
      <c r="F15" s="428"/>
      <c r="G15" s="428"/>
    </row>
    <row r="16" spans="1:7" x14ac:dyDescent="0.3">
      <c r="A16" s="99"/>
      <c r="B16" s="99"/>
      <c r="C16" s="428"/>
      <c r="D16" s="428"/>
      <c r="E16" s="428"/>
      <c r="F16" s="428"/>
      <c r="G16" s="428"/>
    </row>
    <row r="17" spans="1:15" x14ac:dyDescent="0.3">
      <c r="A17" s="99"/>
      <c r="B17" s="99"/>
      <c r="C17" s="428"/>
      <c r="D17" s="428"/>
      <c r="E17" s="428"/>
      <c r="F17" s="428"/>
      <c r="G17" s="428"/>
    </row>
    <row r="18" spans="1:15" x14ac:dyDescent="0.3">
      <c r="A18" s="309"/>
      <c r="B18" s="309"/>
      <c r="C18" s="428"/>
      <c r="D18" s="428"/>
      <c r="E18" s="428"/>
      <c r="F18" s="428"/>
      <c r="G18" s="428"/>
    </row>
    <row r="19" spans="1:15" x14ac:dyDescent="0.3">
      <c r="A19" s="309"/>
      <c r="B19" s="309"/>
      <c r="C19" s="428"/>
      <c r="D19" s="428"/>
      <c r="E19" s="428"/>
      <c r="F19" s="428"/>
      <c r="G19" s="428"/>
    </row>
    <row r="20" spans="1:15" x14ac:dyDescent="0.3">
      <c r="A20" s="309"/>
      <c r="B20" s="309"/>
      <c r="C20" s="428"/>
      <c r="D20" s="428"/>
      <c r="E20" s="428"/>
      <c r="F20" s="428"/>
      <c r="G20" s="428"/>
    </row>
    <row r="21" spans="1:15" x14ac:dyDescent="0.3">
      <c r="A21" s="309"/>
      <c r="B21" s="309"/>
      <c r="C21" s="428"/>
      <c r="D21" s="428"/>
      <c r="E21" s="428"/>
      <c r="F21" s="428"/>
      <c r="G21" s="428"/>
    </row>
    <row r="22" spans="1:15" x14ac:dyDescent="0.3">
      <c r="D22" s="93"/>
    </row>
    <row r="23" spans="1:15" x14ac:dyDescent="0.3">
      <c r="C23" s="424"/>
      <c r="D23" s="424"/>
    </row>
    <row r="24" spans="1:15" x14ac:dyDescent="0.3">
      <c r="C24" s="424"/>
      <c r="D24" s="424"/>
    </row>
    <row r="25" spans="1:15" x14ac:dyDescent="0.3">
      <c r="A25" s="64"/>
      <c r="B25" s="64"/>
      <c r="C25" s="424"/>
      <c r="D25" s="424"/>
    </row>
    <row r="26" spans="1:15" x14ac:dyDescent="0.3">
      <c r="A26" s="64"/>
      <c r="B26" s="64"/>
      <c r="C26" s="424"/>
      <c r="D26" s="424"/>
    </row>
    <row r="27" spans="1:15" x14ac:dyDescent="0.3">
      <c r="B27" s="64"/>
      <c r="C27" s="171"/>
      <c r="D27" s="171"/>
    </row>
    <row r="28" spans="1:15" x14ac:dyDescent="0.3">
      <c r="A28" s="100"/>
      <c r="B28" s="64"/>
      <c r="C28" s="171"/>
      <c r="D28" s="171"/>
      <c r="M28" s="29"/>
      <c r="O28" s="29"/>
    </row>
    <row r="29" spans="1:15" x14ac:dyDescent="0.3">
      <c r="A29" s="100"/>
      <c r="B29" s="64"/>
      <c r="C29" s="171"/>
      <c r="D29" s="171"/>
      <c r="N29" s="29"/>
    </row>
    <row r="30" spans="1:15" x14ac:dyDescent="0.3">
      <c r="A30" s="100"/>
      <c r="B30" s="64"/>
      <c r="C30" s="171"/>
      <c r="D30" s="171"/>
    </row>
    <row r="31" spans="1:15" x14ac:dyDescent="0.3">
      <c r="A31" s="100"/>
      <c r="B31" s="64"/>
      <c r="C31" s="171"/>
      <c r="D31" s="171"/>
    </row>
    <row r="32" spans="1:15" x14ac:dyDescent="0.3">
      <c r="A32" s="100"/>
      <c r="B32" s="64"/>
      <c r="C32" s="171"/>
      <c r="D32" s="171"/>
    </row>
    <row r="33" spans="1:4" x14ac:dyDescent="0.3">
      <c r="A33" s="100"/>
      <c r="B33" s="64"/>
      <c r="C33" s="171"/>
      <c r="D33" s="171"/>
    </row>
    <row r="34" spans="1:4" x14ac:dyDescent="0.3">
      <c r="A34" s="100"/>
      <c r="B34" s="64"/>
      <c r="C34" s="171"/>
      <c r="D34" s="171"/>
    </row>
    <row r="35" spans="1:4" x14ac:dyDescent="0.3">
      <c r="A35" s="100"/>
      <c r="B35" s="64"/>
      <c r="C35" s="171"/>
      <c r="D35" s="171"/>
    </row>
    <row r="36" spans="1:4" x14ac:dyDescent="0.3">
      <c r="A36" s="100"/>
      <c r="B36" s="64"/>
      <c r="C36" s="171"/>
      <c r="D36" s="171"/>
    </row>
    <row r="37" spans="1:4" x14ac:dyDescent="0.3">
      <c r="A37" s="100"/>
      <c r="B37" s="64"/>
      <c r="C37" s="171"/>
      <c r="D37" s="171"/>
    </row>
    <row r="38" spans="1:4" x14ac:dyDescent="0.3">
      <c r="A38" s="100"/>
      <c r="B38" s="64"/>
      <c r="C38" s="171"/>
      <c r="D38" s="171"/>
    </row>
    <row r="39" spans="1:4" x14ac:dyDescent="0.3">
      <c r="A39" s="100"/>
      <c r="B39" s="64"/>
      <c r="C39" s="171"/>
      <c r="D39" s="171"/>
    </row>
    <row r="40" spans="1:4" x14ac:dyDescent="0.3">
      <c r="A40" s="100"/>
      <c r="B40" s="64"/>
      <c r="C40" s="171"/>
      <c r="D40" s="171"/>
    </row>
    <row r="41" spans="1:4" x14ac:dyDescent="0.3">
      <c r="A41" s="100"/>
      <c r="B41" s="64"/>
      <c r="C41" s="171"/>
      <c r="D41" s="171"/>
    </row>
    <row r="42" spans="1:4" x14ac:dyDescent="0.3">
      <c r="A42" s="100"/>
      <c r="B42" s="64"/>
      <c r="C42" s="171"/>
      <c r="D42" s="171"/>
    </row>
    <row r="43" spans="1:4" x14ac:dyDescent="0.3">
      <c r="A43" s="100"/>
      <c r="B43" s="64"/>
      <c r="C43" s="171"/>
      <c r="D43" s="171"/>
    </row>
    <row r="44" spans="1:4" x14ac:dyDescent="0.3">
      <c r="A44" s="100"/>
      <c r="B44" s="64"/>
      <c r="C44" s="171"/>
      <c r="D44" s="171"/>
    </row>
    <row r="45" spans="1:4" x14ac:dyDescent="0.3">
      <c r="A45" s="100"/>
      <c r="B45" s="64"/>
      <c r="C45" s="171"/>
      <c r="D45" s="171"/>
    </row>
    <row r="46" spans="1:4" x14ac:dyDescent="0.3">
      <c r="A46" s="100"/>
      <c r="B46" s="64"/>
      <c r="C46" s="171"/>
      <c r="D46" s="171"/>
    </row>
    <row r="47" spans="1:4" x14ac:dyDescent="0.3">
      <c r="A47" s="100"/>
      <c r="B47" s="64"/>
      <c r="C47" s="171"/>
      <c r="D47" s="171"/>
    </row>
    <row r="48" spans="1:4" x14ac:dyDescent="0.3">
      <c r="A48" s="100"/>
      <c r="B48" s="64"/>
      <c r="C48" s="171"/>
      <c r="D48" s="171"/>
    </row>
    <row r="49" spans="1:9" x14ac:dyDescent="0.3">
      <c r="A49" s="100"/>
      <c r="B49" s="64"/>
      <c r="C49" s="171"/>
      <c r="D49" s="171"/>
    </row>
    <row r="50" spans="1:9" x14ac:dyDescent="0.3">
      <c r="A50" s="100"/>
      <c r="B50" s="64"/>
      <c r="C50" s="171"/>
      <c r="D50" s="171"/>
    </row>
    <row r="51" spans="1:9" x14ac:dyDescent="0.3">
      <c r="A51" s="100"/>
      <c r="B51" s="64"/>
      <c r="C51" s="171"/>
      <c r="D51" s="171"/>
    </row>
    <row r="52" spans="1:9" x14ac:dyDescent="0.3">
      <c r="A52" s="100"/>
      <c r="B52" s="64"/>
      <c r="C52" s="171"/>
      <c r="D52" s="171"/>
    </row>
    <row r="53" spans="1:9" x14ac:dyDescent="0.3">
      <c r="A53" s="100" t="s">
        <v>265</v>
      </c>
      <c r="B53" s="64"/>
      <c r="C53" s="171"/>
      <c r="D53" s="171"/>
    </row>
    <row r="54" spans="1:9" ht="55.8" x14ac:dyDescent="0.3">
      <c r="A54" s="122" t="s">
        <v>13</v>
      </c>
      <c r="B54" s="122" t="s">
        <v>154</v>
      </c>
      <c r="C54" s="122" t="s">
        <v>34</v>
      </c>
      <c r="D54" s="345" t="s">
        <v>155</v>
      </c>
      <c r="E54" s="122" t="s">
        <v>161</v>
      </c>
      <c r="F54" s="122" t="s">
        <v>156</v>
      </c>
      <c r="G54" s="122" t="s">
        <v>302</v>
      </c>
      <c r="H54" s="122" t="str">
        <f>"Future Value in Project Year - "&amp;'CIP Summary'!$C$8</f>
        <v>Future Value in Project Year - Escalation</v>
      </c>
      <c r="I54" s="174" t="s">
        <v>179</v>
      </c>
    </row>
    <row r="55" spans="1:9" ht="28.2" x14ac:dyDescent="0.3">
      <c r="A55" s="127">
        <v>1</v>
      </c>
      <c r="B55" s="129" t="str">
        <f>VLOOKUP(A55,CIP_Full,2,FALSE)</f>
        <v>20 MGD Expansion</v>
      </c>
      <c r="C55" s="129" t="str">
        <f>VLOOKUP(A55,CIP_Full,3,FALSE)</f>
        <v>Actiflo™</v>
      </c>
      <c r="D55" s="129" t="str">
        <f>VLOOKUP(A55,CIP_Full,4,FALSE)</f>
        <v>Install second flash mix pump to give system installed redundancy (1+1) rather than shelf spare.</v>
      </c>
      <c r="E55" s="169">
        <f>VLOOKUP(A55,CIP_Full,5,FALSE)</f>
        <v>169791</v>
      </c>
      <c r="F55" s="134" t="str">
        <f>VLOOKUP(A55,CIP_Full,6,FALSE)</f>
        <v>Yes</v>
      </c>
      <c r="G55" s="134">
        <f>VLOOKUP(A55,CIP_Full,10,FALSE)</f>
        <v>212238.75</v>
      </c>
      <c r="H55" s="134">
        <f>VLOOKUP(A55,CIP_Full,13,FALSE)</f>
        <v>238876.58294838748</v>
      </c>
      <c r="I55" s="344"/>
    </row>
    <row r="56" spans="1:9" x14ac:dyDescent="0.3">
      <c r="A56" s="56">
        <v>2</v>
      </c>
      <c r="B56" s="129" t="str">
        <f>VLOOKUP(A56,CIP_Full,2,FALSE)</f>
        <v>20 MGD Expansion</v>
      </c>
      <c r="C56" s="129" t="str">
        <f>VLOOKUP(A56,CIP_Full,3,FALSE)</f>
        <v>Actiflo™</v>
      </c>
      <c r="D56" s="129" t="str">
        <f>VLOOKUP(A56,CIP_Full,4,FALSE)</f>
        <v>Purchase additional shelf spare solid pump</v>
      </c>
      <c r="E56" s="169">
        <f>VLOOKUP(A56,CIP_Full,5,FALSE)</f>
        <v>42275</v>
      </c>
      <c r="F56" s="134" t="str">
        <f>VLOOKUP(A56,CIP_Full,6,FALSE)</f>
        <v>Yes</v>
      </c>
      <c r="G56" s="134">
        <f>VLOOKUP(A56,CIP_Full,10,FALSE)</f>
        <v>52843.75</v>
      </c>
      <c r="H56" s="134">
        <f>VLOOKUP(A56,CIP_Full,13,FALSE)</f>
        <v>59476.106178437498</v>
      </c>
      <c r="I56" s="297"/>
    </row>
    <row r="57" spans="1:9" ht="28.2" x14ac:dyDescent="0.3">
      <c r="A57" s="56">
        <v>11</v>
      </c>
      <c r="B57" s="128" t="str">
        <f>VLOOKUP($A57,CIP_Full,2,FALSE)</f>
        <v>20 MGD Expansion</v>
      </c>
      <c r="C57" s="128" t="str">
        <f>VLOOKUP($A57,CIP_Full,3,FALSE)</f>
        <v>Actiflo™</v>
      </c>
      <c r="D57" s="270" t="str">
        <f>VLOOKUP($A57,CIP_Full,4,FALSE)</f>
        <v>Replace and reinstall existing streaming current analyzer on Actiflo inlet so it can be used for chemical dosing</v>
      </c>
      <c r="E57" s="133">
        <f>VLOOKUP($A57,CIP_Full,5,FALSE)</f>
        <v>70500</v>
      </c>
      <c r="F57" s="134" t="str">
        <f>VLOOKUP($A57,CIP_Full,6,FALSE)</f>
        <v>Yes</v>
      </c>
      <c r="G57" s="130">
        <f>VLOOKUP($A57,CIP_Full,10,FALSE)</f>
        <v>88125</v>
      </c>
      <c r="H57" s="134">
        <f>VLOOKUP(A57,CIP_Full,13,FALSE)</f>
        <v>96296.566875000004</v>
      </c>
      <c r="I57" s="297"/>
    </row>
    <row r="58" spans="1:9" ht="43.95" customHeight="1" x14ac:dyDescent="0.3">
      <c r="A58" s="56">
        <v>24</v>
      </c>
      <c r="B58" s="128" t="str">
        <f>VLOOKUP($A58,CIP_Full,2,FALSE)</f>
        <v>20 MGD Expansion</v>
      </c>
      <c r="C58" s="128" t="str">
        <f>VLOOKUP($A58,CIP_Full,3,FALSE)</f>
        <v>Chemical Storage/ Ozone Generation</v>
      </c>
      <c r="D58" s="270" t="str">
        <f>VLOOKUP($A58,CIP_Full,4,FALSE)</f>
        <v>Existing chemical lines are inaccessible south of the utilidor and cannot be inspected or replaced.  Abandon existing lines in-place, extend utilidor to the southern end of the plant, and install chemical lines in the extended utilidor.</v>
      </c>
      <c r="E58" s="133">
        <f>VLOOKUP($A58,CIP_Full,5,FALSE)</f>
        <v>566752</v>
      </c>
      <c r="F58" s="134" t="str">
        <f>VLOOKUP($A58,CIP_Full,6,FALSE)</f>
        <v>Yes</v>
      </c>
      <c r="G58" s="130">
        <f>VLOOKUP($A58,CIP_Full,10,FALSE)</f>
        <v>708440</v>
      </c>
      <c r="H58" s="131">
        <f>VLOOKUP($A58,CIP_Full,13,FALSE)</f>
        <v>821276.12519709184</v>
      </c>
      <c r="I58" s="297"/>
    </row>
    <row r="59" spans="1:9" ht="28.2" x14ac:dyDescent="0.3">
      <c r="A59" s="56">
        <v>26</v>
      </c>
      <c r="B59" s="129" t="str">
        <f t="shared" ref="B59:B67" si="0">VLOOKUP(A59,CIP_Full,2,FALSE)</f>
        <v>20 MGD Expansion</v>
      </c>
      <c r="C59" s="129" t="str">
        <f t="shared" ref="C59:C67" si="1">VLOOKUP(A59,CIP_Full,3,FALSE)</f>
        <v>Chemical Storage/ Ozone Generation</v>
      </c>
      <c r="D59" s="129" t="str">
        <f t="shared" ref="D59:D67" si="2">VLOOKUP(A59,CIP_Full,4,FALSE)</f>
        <v>On existing hypochlorite system, add ventilation line that returns to tank to prevent offgassing to atmosphere.</v>
      </c>
      <c r="E59" s="169">
        <f t="shared" ref="E59:E67" si="3">VLOOKUP(A59,CIP_Full,5,FALSE)</f>
        <v>7144</v>
      </c>
      <c r="F59" s="134" t="str">
        <f t="shared" ref="F59:F67" si="4">VLOOKUP(A59,CIP_Full,6,FALSE)</f>
        <v>Yes</v>
      </c>
      <c r="G59" s="134">
        <f t="shared" ref="G59:G67" si="5">VLOOKUP(A59,CIP_Full,10,FALSE)</f>
        <v>8930</v>
      </c>
      <c r="H59" s="134">
        <f t="shared" ref="H59:H67" si="6">VLOOKUP(A59,CIP_Full,13,FALSE)</f>
        <v>10050.793673299999</v>
      </c>
      <c r="I59" s="297"/>
    </row>
    <row r="60" spans="1:9" ht="28.2" x14ac:dyDescent="0.3">
      <c r="A60" s="56">
        <v>27</v>
      </c>
      <c r="B60" s="129" t="str">
        <f t="shared" si="0"/>
        <v>20 MGD Expansion</v>
      </c>
      <c r="C60" s="129" t="str">
        <f t="shared" si="1"/>
        <v>Chemical Storage/ Ozone Generation</v>
      </c>
      <c r="D60" s="129" t="str">
        <f t="shared" si="2"/>
        <v>On all existing chemical systems, add wye or basket strainers to all pump suction lines</v>
      </c>
      <c r="E60" s="169">
        <f t="shared" si="3"/>
        <v>10978</v>
      </c>
      <c r="F60" s="134" t="str">
        <f t="shared" si="4"/>
        <v>Yes</v>
      </c>
      <c r="G60" s="134">
        <f t="shared" si="5"/>
        <v>13722.5</v>
      </c>
      <c r="H60" s="134">
        <f t="shared" si="6"/>
        <v>15444.794645224998</v>
      </c>
      <c r="I60" s="297"/>
    </row>
    <row r="61" spans="1:9" ht="28.2" x14ac:dyDescent="0.3">
      <c r="A61" s="56">
        <v>41</v>
      </c>
      <c r="B61" s="129" t="str">
        <f t="shared" si="0"/>
        <v>20 MGD Expansion</v>
      </c>
      <c r="C61" s="129" t="str">
        <f t="shared" si="1"/>
        <v>Chemical Storage/ Ozone Generation</v>
      </c>
      <c r="D61" s="129" t="str">
        <f t="shared" si="2"/>
        <v>Replace existing 4,400 gallon XLPE sodium hypochlorite tank with a 3,900 gallon tank</v>
      </c>
      <c r="E61" s="169">
        <f t="shared" si="3"/>
        <v>52500</v>
      </c>
      <c r="F61" s="134" t="str">
        <f t="shared" si="4"/>
        <v>Yes</v>
      </c>
      <c r="G61" s="134">
        <f t="shared" si="5"/>
        <v>65625</v>
      </c>
      <c r="H61" s="134">
        <f t="shared" si="6"/>
        <v>73861.515656249991</v>
      </c>
      <c r="I61" s="297"/>
    </row>
    <row r="62" spans="1:9" x14ac:dyDescent="0.3">
      <c r="A62" s="127">
        <v>46</v>
      </c>
      <c r="B62" s="128" t="str">
        <f t="shared" si="0"/>
        <v>20 MGD Expansion</v>
      </c>
      <c r="C62" s="129" t="str">
        <f t="shared" si="1"/>
        <v>Electrical</v>
      </c>
      <c r="D62" s="129" t="str">
        <f t="shared" si="2"/>
        <v>Install 15 KV/1,200 A metering/distribution switchgear</v>
      </c>
      <c r="E62" s="169">
        <f t="shared" si="3"/>
        <v>4147606</v>
      </c>
      <c r="F62" s="134" t="str">
        <f t="shared" si="4"/>
        <v>Yes</v>
      </c>
      <c r="G62" s="134">
        <f t="shared" si="5"/>
        <v>5184507.5</v>
      </c>
      <c r="H62" s="134">
        <f t="shared" si="6"/>
        <v>5835208.8667610744</v>
      </c>
      <c r="I62" s="298"/>
    </row>
    <row r="63" spans="1:9" ht="28.2" x14ac:dyDescent="0.3">
      <c r="A63" s="56">
        <v>47</v>
      </c>
      <c r="B63" s="128" t="str">
        <f t="shared" si="0"/>
        <v>20 MGD Expansion</v>
      </c>
      <c r="C63" s="129" t="str">
        <f t="shared" si="1"/>
        <v>Electrical</v>
      </c>
      <c r="D63" s="129" t="str">
        <f t="shared" si="2"/>
        <v>Install new 5,000 KVA transformer to control power distribution to raw and finished water pumps</v>
      </c>
      <c r="E63" s="169">
        <f t="shared" si="3"/>
        <v>180000</v>
      </c>
      <c r="F63" s="134" t="str">
        <f t="shared" si="4"/>
        <v>Yes</v>
      </c>
      <c r="G63" s="134">
        <f t="shared" si="5"/>
        <v>225000</v>
      </c>
      <c r="H63" s="134">
        <f t="shared" si="6"/>
        <v>253239.48224999997</v>
      </c>
      <c r="I63" s="299"/>
    </row>
    <row r="64" spans="1:9" ht="42" customHeight="1" x14ac:dyDescent="0.3">
      <c r="A64" s="56">
        <v>48</v>
      </c>
      <c r="B64" s="128" t="str">
        <f t="shared" si="0"/>
        <v>20 MGD Expansion</v>
      </c>
      <c r="C64" s="129" t="str">
        <f t="shared" si="1"/>
        <v>Electrical</v>
      </c>
      <c r="D64" s="129" t="str">
        <f t="shared" si="2"/>
        <v>Rewire existing electrical system to install new switchgear and transformer, connect all raw and finished water pumps to new transformer, connect new 2 MW emergency generator to switchgear, and upgrade existing electrical connections as needed to support new layout.</v>
      </c>
      <c r="E64" s="169">
        <f t="shared" si="3"/>
        <v>285988</v>
      </c>
      <c r="F64" s="134" t="str">
        <f t="shared" si="4"/>
        <v>Yes</v>
      </c>
      <c r="G64" s="134">
        <f t="shared" si="5"/>
        <v>357485</v>
      </c>
      <c r="H64" s="134">
        <f t="shared" si="6"/>
        <v>402352.51694284996</v>
      </c>
      <c r="I64" s="299"/>
    </row>
    <row r="65" spans="1:9" x14ac:dyDescent="0.3">
      <c r="A65" s="56">
        <v>49</v>
      </c>
      <c r="B65" s="128" t="str">
        <f t="shared" si="0"/>
        <v>20 MGD Expansion</v>
      </c>
      <c r="C65" s="129" t="str">
        <f t="shared" si="1"/>
        <v>Electrical</v>
      </c>
      <c r="D65" s="129" t="str">
        <f t="shared" si="2"/>
        <v>Replace existing 1 MW generator with 2 MW generator</v>
      </c>
      <c r="E65" s="169">
        <f t="shared" si="3"/>
        <v>4014088</v>
      </c>
      <c r="F65" s="134" t="str">
        <f t="shared" si="4"/>
        <v>Yes</v>
      </c>
      <c r="G65" s="134">
        <f t="shared" si="5"/>
        <v>5017610</v>
      </c>
      <c r="H65" s="134">
        <f t="shared" si="6"/>
        <v>5647364.2601440996</v>
      </c>
      <c r="I65" s="299"/>
    </row>
    <row r="66" spans="1:9" ht="17.399999999999999" customHeight="1" x14ac:dyDescent="0.3">
      <c r="A66" s="56">
        <v>69</v>
      </c>
      <c r="B66" s="128" t="str">
        <f t="shared" si="0"/>
        <v>20 MGD Expansion</v>
      </c>
      <c r="C66" s="129" t="str">
        <f t="shared" si="1"/>
        <v>Filters</v>
      </c>
      <c r="D66" s="129" t="str">
        <f t="shared" si="2"/>
        <v>Upgrade electrical wiring as necessary to support plant-wide electrical upgrades</v>
      </c>
      <c r="E66" s="169">
        <f t="shared" si="3"/>
        <v>238323</v>
      </c>
      <c r="F66" s="134" t="str">
        <f t="shared" si="4"/>
        <v>Yes</v>
      </c>
      <c r="G66" s="134">
        <f t="shared" si="5"/>
        <v>297903.75</v>
      </c>
      <c r="H66" s="134">
        <f t="shared" si="6"/>
        <v>335293.2951570375</v>
      </c>
      <c r="I66" s="299"/>
    </row>
    <row r="67" spans="1:9" ht="30.6" customHeight="1" x14ac:dyDescent="0.3">
      <c r="A67" s="56">
        <v>75</v>
      </c>
      <c r="B67" s="129" t="str">
        <f t="shared" si="0"/>
        <v>20 MGD Expansion</v>
      </c>
      <c r="C67" s="129" t="str">
        <f t="shared" si="1"/>
        <v>Finished Water Pump Station</v>
      </c>
      <c r="D67" s="129" t="str">
        <f t="shared" si="2"/>
        <v>Replace existing 4 MGD pump with 7.5 MGD pump to ensure plant meets 20 MGD firm capacity.  Alternately, install a fifth pump that is at least 5 MGD.</v>
      </c>
      <c r="E67" s="169">
        <f t="shared" si="3"/>
        <v>1212081</v>
      </c>
      <c r="F67" s="134" t="str">
        <f t="shared" si="4"/>
        <v>Yes</v>
      </c>
      <c r="G67" s="134">
        <f t="shared" si="5"/>
        <v>1515101.25</v>
      </c>
      <c r="H67" s="134">
        <f t="shared" si="6"/>
        <v>1705259.8049170123</v>
      </c>
      <c r="I67" s="297"/>
    </row>
    <row r="68" spans="1:9" ht="31.95" customHeight="1" x14ac:dyDescent="0.3">
      <c r="A68" s="56">
        <v>99</v>
      </c>
      <c r="B68" s="129" t="str">
        <f t="shared" ref="B68" si="7">VLOOKUP(A68,CIP_Full,2,FALSE)</f>
        <v>20 MGD Expansion</v>
      </c>
      <c r="C68" s="129" t="str">
        <f t="shared" ref="C68" si="8">VLOOKUP(A68,CIP_Full,3,FALSE)</f>
        <v>Miscellaneous</v>
      </c>
      <c r="D68" s="129" t="str">
        <f t="shared" ref="D68" si="9">VLOOKUP(A68,CIP_Full,4,FALSE)</f>
        <v>Replace two existing rooftop HVAC units in the Administration Building (Conference Room and Control Room) and repair ventilation in Laboratory (T-18HVAC01 through 3)</v>
      </c>
      <c r="E68" s="169">
        <f t="shared" ref="E68" si="10">VLOOKUP(A68,CIP_Full,5,FALSE)</f>
        <v>184250</v>
      </c>
      <c r="F68" s="134" t="str">
        <f t="shared" ref="F68" si="11">VLOOKUP(A68,CIP_Full,6,FALSE)</f>
        <v>Yes</v>
      </c>
      <c r="G68" s="134">
        <f t="shared" ref="G68" si="12">VLOOKUP(A68,CIP_Full,10,FALSE)</f>
        <v>230312.5</v>
      </c>
      <c r="H68" s="134">
        <f t="shared" ref="H68" si="13">VLOOKUP(A68,CIP_Full,13,FALSE)</f>
        <v>244338.53125</v>
      </c>
      <c r="I68" s="297"/>
    </row>
    <row r="69" spans="1:9" ht="28.2" x14ac:dyDescent="0.3">
      <c r="A69" s="56">
        <v>100</v>
      </c>
      <c r="B69" s="129" t="str">
        <f>VLOOKUP(A69,CIP_Full,2,FALSE)</f>
        <v>20 MGD Expansion</v>
      </c>
      <c r="C69" s="129" t="str">
        <f>VLOOKUP(A69,CIP_Full,3,FALSE)</f>
        <v>Ozonation</v>
      </c>
      <c r="D69" s="129" t="str">
        <f>VLOOKUP(A69,CIP_Full,4,FALSE)</f>
        <v>Replace the diffusers in the two existing ozone basins to support 30 MGD capacity expansion</v>
      </c>
      <c r="E69" s="169">
        <f>VLOOKUP(A69,CIP_Full,5,FALSE)</f>
        <v>73000</v>
      </c>
      <c r="F69" s="134" t="str">
        <f>VLOOKUP(A69,CIP_Full,6,FALSE)</f>
        <v>Yes</v>
      </c>
      <c r="G69" s="134">
        <f>VLOOKUP(A69,CIP_Full,10,FALSE)</f>
        <v>91250</v>
      </c>
      <c r="H69" s="134">
        <f>VLOOKUP(A69,CIP_Full,13,FALSE)</f>
        <v>102702.67891249999</v>
      </c>
      <c r="I69" s="297"/>
    </row>
    <row r="70" spans="1:9" ht="31.95" customHeight="1" x14ac:dyDescent="0.3">
      <c r="A70" s="56">
        <v>107</v>
      </c>
      <c r="B70" s="129" t="str">
        <f>VLOOKUP(A70,CIP_Full,2,FALSE)</f>
        <v>20 MGD Expansion</v>
      </c>
      <c r="C70" s="129" t="str">
        <f>VLOOKUP(A70,CIP_Full,3,FALSE)</f>
        <v>Raw Water Pump Station</v>
      </c>
      <c r="D70" s="129" t="str">
        <f>VLOOKUP(A70,CIP_Full,4,FALSE)</f>
        <v>Replace existing 4 MGD pump with 7.5 MGD pump to ensure plant meets 20 MGD firm capacity with three dedicated pumps</v>
      </c>
      <c r="E70" s="169">
        <f>VLOOKUP(A70,CIP_Full,5,FALSE)</f>
        <v>665000</v>
      </c>
      <c r="F70" s="134" t="str">
        <f>VLOOKUP(A70,CIP_Full,6,FALSE)</f>
        <v>Yes</v>
      </c>
      <c r="G70" s="134">
        <f>VLOOKUP(A70,CIP_Full,10,FALSE)</f>
        <v>831250</v>
      </c>
      <c r="H70" s="134">
        <f>VLOOKUP(A70,CIP_Full,13,FALSE)</f>
        <v>935579.19831249991</v>
      </c>
      <c r="I70" s="297"/>
    </row>
    <row r="71" spans="1:9" ht="44.4" customHeight="1" x14ac:dyDescent="0.3">
      <c r="A71" s="56">
        <v>114</v>
      </c>
      <c r="B71" s="129" t="str">
        <f>VLOOKUP(A71,CIP_Full,2,FALSE)</f>
        <v>20 MGD Expansion</v>
      </c>
      <c r="C71" s="129" t="str">
        <f>VLOOKUP(A71,CIP_Full,3,FALSE)</f>
        <v>Sitewide</v>
      </c>
      <c r="D71" s="129" t="str">
        <f>VLOOKUP(A71,CIP_Full,4,FALSE)</f>
        <v>Sitewide lighting upgrade to support continued nighttime operations.  For purpose of cost estimate, assuming that sitewide external lighting is replaced with high efficiency LED system.</v>
      </c>
      <c r="E71" s="169">
        <f>VLOOKUP(A71,CIP_Full,5,FALSE)</f>
        <v>156532</v>
      </c>
      <c r="F71" s="134" t="str">
        <f>VLOOKUP(A71,CIP_Full,6,FALSE)</f>
        <v>Yes</v>
      </c>
      <c r="G71" s="134">
        <f>VLOOKUP(A71,CIP_Full,10,FALSE)</f>
        <v>195665</v>
      </c>
      <c r="H71" s="134">
        <f>VLOOKUP(A71,CIP_Full,13,FALSE)</f>
        <v>220222.68130864998</v>
      </c>
      <c r="I71" s="297"/>
    </row>
    <row r="72" spans="1:9" ht="29.4" customHeight="1" x14ac:dyDescent="0.3">
      <c r="A72" s="56">
        <v>127</v>
      </c>
      <c r="B72" s="129" t="str">
        <f>VLOOKUP(A72,CIP_Full,2,FALSE)</f>
        <v>20 MGD Expansion</v>
      </c>
      <c r="C72" s="129" t="str">
        <f>VLOOKUP(A72,CIP_Full,3,FALSE)</f>
        <v>Solids - Gravity Thickener</v>
      </c>
      <c r="D72" s="129" t="str">
        <f>VLOOKUP(A72,CIP_Full,4,FALSE)</f>
        <v>To increase solids mixing redundancy, recommend purchasing and installing a second mixing pump to give 1+1 configuration</v>
      </c>
      <c r="E72" s="169">
        <f>VLOOKUP(A72,CIP_Full,5,FALSE)</f>
        <v>104385</v>
      </c>
      <c r="F72" s="134" t="str">
        <f>VLOOKUP(A72,CIP_Full,6,FALSE)</f>
        <v>Yes</v>
      </c>
      <c r="G72" s="134">
        <f>VLOOKUP(A72,CIP_Full,10,FALSE)</f>
        <v>130481.25</v>
      </c>
      <c r="H72" s="134">
        <f>VLOOKUP(A72,CIP_Full,13,FALSE)</f>
        <v>146857.7964148125</v>
      </c>
      <c r="I72" s="297"/>
    </row>
    <row r="73" spans="1:9" ht="19.2" customHeight="1" x14ac:dyDescent="0.3">
      <c r="A73" s="56">
        <v>136</v>
      </c>
      <c r="B73" s="128" t="str">
        <f>VLOOKUP($A73,CIP_Full,2,FALSE)</f>
        <v>20 MGD Expansion</v>
      </c>
      <c r="C73" s="128" t="str">
        <f>VLOOKUP($A73,CIP_Full,3,FALSE)</f>
        <v>WWEQ Basin</v>
      </c>
      <c r="D73" s="270" t="str">
        <f>VLOOKUP($A73,CIP_Full,4,FALSE)</f>
        <v>Modifications necessary to support chemical pipelines along western WWEQ Basin wall</v>
      </c>
      <c r="E73" s="133">
        <f>VLOOKUP($A73,CIP_Full,5,FALSE)</f>
        <v>300000</v>
      </c>
      <c r="F73" s="134" t="str">
        <f>VLOOKUP($A73,CIP_Full,6,FALSE)</f>
        <v>Yes</v>
      </c>
      <c r="G73" s="130">
        <f>VLOOKUP($A73,CIP_Full,10,FALSE)</f>
        <v>375000</v>
      </c>
      <c r="H73" s="131">
        <f>VLOOKUP($A73,CIP_Full,13,FALSE)</f>
        <v>434727.77786249993</v>
      </c>
      <c r="I73" s="297"/>
    </row>
    <row r="74" spans="1:9" ht="28.2" x14ac:dyDescent="0.3">
      <c r="A74" s="56">
        <v>140</v>
      </c>
      <c r="B74" s="129" t="str">
        <f t="shared" ref="B74" si="14">VLOOKUP(A74,CIP_Full,2,FALSE)</f>
        <v>20 MGD Expansion</v>
      </c>
      <c r="C74" s="129" t="str">
        <f t="shared" ref="C74" si="15">VLOOKUP(A74,CIP_Full,3,FALSE)</f>
        <v>Chemical Storage/ Ozone Generation</v>
      </c>
      <c r="D74" s="129" t="str">
        <f t="shared" ref="D74" si="16">VLOOKUP(A74,CIP_Full,4,FALSE)</f>
        <v>Replace 6,000-gallon rented LOX tank with larger tank</v>
      </c>
      <c r="E74" s="169">
        <f t="shared" ref="E74" si="17">VLOOKUP(A74,CIP_Full,5,FALSE)</f>
        <v>88917</v>
      </c>
      <c r="F74" s="134" t="str">
        <f t="shared" ref="F74" si="18">VLOOKUP(A74,CIP_Full,6,FALSE)</f>
        <v>Yes</v>
      </c>
      <c r="G74" s="134">
        <f t="shared" ref="G74" si="19">VLOOKUP(A74,CIP_Full,10,FALSE)</f>
        <v>111146.25</v>
      </c>
      <c r="H74" s="134">
        <f t="shared" ref="H74" si="20">VLOOKUP(A74,CIP_Full,13,FALSE)</f>
        <v>125096.08357346249</v>
      </c>
      <c r="I74" s="297"/>
    </row>
    <row r="75" spans="1:9" ht="28.2" x14ac:dyDescent="0.3">
      <c r="A75" s="56">
        <v>174</v>
      </c>
      <c r="B75" s="129" t="str">
        <f>VLOOKUP(A75,CIP_Full,2,FALSE)</f>
        <v>20 MGD Expansion</v>
      </c>
      <c r="C75" s="129" t="str">
        <f>VLOOKUP(A75,CIP_Full,3,FALSE)</f>
        <v>Finished Water Pump Station</v>
      </c>
      <c r="D75" s="129" t="str">
        <f>VLOOKUP(A75,CIP_Full,4,FALSE)</f>
        <v>Conduct tracer study in support of receiving OHA ozonation waiver</v>
      </c>
      <c r="E75" s="169">
        <f>VLOOKUP(A75,CIP_Full,5,FALSE)</f>
        <v>50000</v>
      </c>
      <c r="F75" s="134" t="str">
        <f>VLOOKUP(A75,CIP_Full,6,FALSE)</f>
        <v>Yes</v>
      </c>
      <c r="G75" s="134">
        <f>VLOOKUP(A75,CIP_Full,10,FALSE)</f>
        <v>62500</v>
      </c>
      <c r="H75" s="134">
        <f>VLOOKUP(A75,CIP_Full,13,FALSE)</f>
        <v>70344.300624999989</v>
      </c>
      <c r="I75" s="297"/>
    </row>
    <row r="76" spans="1:9" x14ac:dyDescent="0.3">
      <c r="A76" s="208" t="s">
        <v>3</v>
      </c>
      <c r="B76" s="209"/>
      <c r="C76" s="2"/>
      <c r="D76" s="209"/>
      <c r="E76" s="209"/>
      <c r="F76" s="209"/>
      <c r="G76" s="209"/>
      <c r="H76" s="209"/>
      <c r="I76" s="210"/>
    </row>
    <row r="77" spans="1:9" x14ac:dyDescent="0.3">
      <c r="A77" s="14" t="s">
        <v>2</v>
      </c>
      <c r="B77" s="138" t="str">
        <f>"In "&amp;TEXT(estimate_date,"mm/yy")&amp;" dollars. Assuming "&amp;Design*100&amp;"% contingency for Design and "&amp;Admin*100&amp;"% for legal and administration costs."</f>
        <v>In 09/17 dollars. Assuming 15% contingency for Design and 10% for legal and administration costs.</v>
      </c>
      <c r="C77" s="137"/>
      <c r="D77" s="137"/>
      <c r="E77" s="137"/>
      <c r="F77" s="137"/>
      <c r="G77" s="137"/>
      <c r="H77" s="137"/>
      <c r="I77" s="141"/>
    </row>
    <row r="78" spans="1:9" x14ac:dyDescent="0.3">
      <c r="A78" s="100"/>
      <c r="B78" s="100"/>
      <c r="C78" s="171"/>
      <c r="D78" s="171"/>
    </row>
    <row r="79" spans="1:9" x14ac:dyDescent="0.3">
      <c r="A79" s="100"/>
      <c r="B79" s="100"/>
      <c r="C79" s="171"/>
      <c r="D79" s="171"/>
    </row>
    <row r="80" spans="1:9" x14ac:dyDescent="0.3">
      <c r="A80" s="100"/>
      <c r="B80" s="100"/>
      <c r="C80" s="171"/>
      <c r="D80" s="171"/>
    </row>
    <row r="81" spans="1:4" x14ac:dyDescent="0.3">
      <c r="A81" s="64"/>
      <c r="B81" s="64"/>
      <c r="C81" s="171"/>
      <c r="D81" s="171"/>
    </row>
    <row r="82" spans="1:4" ht="18.600000000000001" customHeight="1" x14ac:dyDescent="0.3">
      <c r="A82" s="64"/>
      <c r="B82" s="64"/>
      <c r="C82" s="171"/>
      <c r="D82" s="171"/>
    </row>
    <row r="83" spans="1:4" ht="15" customHeight="1" x14ac:dyDescent="0.3">
      <c r="D83" s="16"/>
    </row>
    <row r="88" spans="1:4" ht="42" customHeight="1" x14ac:dyDescent="0.3"/>
    <row r="93" spans="1:4" ht="43.95" customHeight="1" x14ac:dyDescent="0.3"/>
    <row r="94" spans="1:4" ht="57.6" customHeight="1" x14ac:dyDescent="0.3"/>
    <row r="96" spans="1:4" ht="28.95" customHeight="1" x14ac:dyDescent="0.3"/>
    <row r="97" spans="5:7" x14ac:dyDescent="0.3">
      <c r="E97" s="29"/>
      <c r="G97" s="29"/>
    </row>
    <row r="98" spans="5:7" x14ac:dyDescent="0.3">
      <c r="F98" s="29"/>
    </row>
  </sheetData>
  <sheetProtection algorithmName="SHA-512" hashValue="P77tJAhA1+dVfXCq1mEB0tVDf7OBWUs30pVuwGIY9pFEoVXyZABy2sriKzLh2lObo/iN2gPhxZM7tNYw0xzqAg==" saltValue="4swod+muTIAGuBgIehiOjw==" spinCount="100000" sheet="1" objects="1" scenarios="1"/>
  <mergeCells count="5">
    <mergeCell ref="C23:D26"/>
    <mergeCell ref="A5:B5"/>
    <mergeCell ref="A6:B6"/>
    <mergeCell ref="A7:B7"/>
    <mergeCell ref="C7:G21"/>
  </mergeCells>
  <dataValidations count="2">
    <dataValidation type="list" allowBlank="1" showInputMessage="1" showErrorMessage="1" sqref="C6">
      <formula1>"Risk Mitigation,Capacity Improvement,Renewal and Replacement,Treatment Upgrade, Study"</formula1>
    </dataValidation>
    <dataValidation type="list" allowBlank="1" showInputMessage="1" showErrorMessage="1" sqref="F57 F58 F73">
      <formula1>"Yes,No"</formula1>
    </dataValidation>
  </dataValidations>
  <pageMargins left="0.7" right="0.7" top="0.75" bottom="0.75" header="0.3" footer="0.3"/>
  <pageSetup scale="65" pageOrder="overThenDown" orientation="landscape" verticalDpi="1200" r:id="rId1"/>
  <headerFooter>
    <oddHeader>&amp;L&amp;"Arial,Bold"WILLAMETTE RIVER WATER TREATMENT PLANT - 2017 MASTER PLAN UPDATE
CAPITAL IMPROVEMENT PLAN WORKBOOK
PROJECT NO. 1</oddHeader>
    <oddFooter>&amp;L&amp;"Arial,Regular"&amp;8WRWTP - 2017 MPU CIP Workbook&amp;C&amp;"Arial,Regular"&amp;8&amp;A Sheet&amp;R&amp;"Arial,Regular"&amp;8Page &amp;P of &amp;N</oddFooter>
  </headerFooter>
  <rowBreaks count="2" manualBreakCount="2">
    <brk id="51" max="8" man="1"/>
    <brk id="82" max="8"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I76"/>
  <sheetViews>
    <sheetView zoomScaleNormal="100" zoomScaleSheetLayoutView="100" workbookViewId="0">
      <selection activeCell="F16" sqref="F16"/>
    </sheetView>
  </sheetViews>
  <sheetFormatPr defaultRowHeight="14.4" x14ac:dyDescent="0.3"/>
  <cols>
    <col min="1" max="1" width="5" customWidth="1"/>
    <col min="2" max="2" width="15.33203125" customWidth="1"/>
    <col min="3" max="3" width="17.109375" customWidth="1"/>
    <col min="4" max="4" width="75.6640625" customWidth="1"/>
    <col min="5" max="5" width="13.44140625" customWidth="1"/>
    <col min="6" max="6" width="9.5546875" bestFit="1" customWidth="1"/>
    <col min="7" max="7" width="15" customWidth="1"/>
    <col min="8" max="8" width="13.44140625" customWidth="1"/>
    <col min="9" max="9" width="13.33203125" customWidth="1"/>
  </cols>
  <sheetData>
    <row r="1" spans="1:7" x14ac:dyDescent="0.3">
      <c r="A1" s="95" t="s">
        <v>174</v>
      </c>
      <c r="B1" s="96"/>
      <c r="C1" s="94"/>
      <c r="D1" s="94"/>
    </row>
    <row r="2" spans="1:7" x14ac:dyDescent="0.3">
      <c r="A2" s="95" t="s">
        <v>167</v>
      </c>
      <c r="B2" s="96"/>
      <c r="C2" s="94"/>
      <c r="D2" s="94"/>
    </row>
    <row r="3" spans="1:7" x14ac:dyDescent="0.3">
      <c r="A3" s="97" t="s">
        <v>307</v>
      </c>
      <c r="B3" s="98"/>
      <c r="C3" s="175"/>
      <c r="D3" s="94"/>
    </row>
    <row r="4" spans="1:7" x14ac:dyDescent="0.3">
      <c r="A4" s="94"/>
      <c r="B4" s="94"/>
      <c r="C4" s="94"/>
      <c r="D4" s="94"/>
    </row>
    <row r="5" spans="1:7" x14ac:dyDescent="0.3">
      <c r="A5" s="425" t="s">
        <v>221</v>
      </c>
      <c r="B5" s="425"/>
      <c r="C5" s="204" t="s">
        <v>71</v>
      </c>
      <c r="D5" s="94"/>
    </row>
    <row r="6" spans="1:7" ht="13.95" customHeight="1" x14ac:dyDescent="0.3">
      <c r="A6" s="426" t="s">
        <v>222</v>
      </c>
      <c r="B6" s="426"/>
      <c r="C6" s="92" t="s">
        <v>181</v>
      </c>
      <c r="D6" s="94"/>
    </row>
    <row r="7" spans="1:7" ht="14.4" customHeight="1" x14ac:dyDescent="0.3">
      <c r="A7" s="427" t="s">
        <v>28</v>
      </c>
      <c r="B7" s="427"/>
      <c r="C7" s="428" t="s">
        <v>223</v>
      </c>
      <c r="D7" s="428"/>
      <c r="E7" s="428"/>
      <c r="F7" s="428"/>
      <c r="G7" s="428"/>
    </row>
    <row r="8" spans="1:7" x14ac:dyDescent="0.3">
      <c r="A8" s="99"/>
      <c r="B8" s="99"/>
      <c r="C8" s="428"/>
      <c r="D8" s="428"/>
      <c r="E8" s="428"/>
      <c r="F8" s="428"/>
      <c r="G8" s="428"/>
    </row>
    <row r="9" spans="1:7" x14ac:dyDescent="0.3">
      <c r="A9" s="99"/>
      <c r="B9" s="99"/>
      <c r="C9" s="205"/>
      <c r="D9" s="205"/>
      <c r="E9" s="205"/>
      <c r="F9" s="205"/>
      <c r="G9" s="205"/>
    </row>
    <row r="10" spans="1:7" x14ac:dyDescent="0.3">
      <c r="A10" s="268"/>
      <c r="B10" s="268"/>
      <c r="C10" s="205"/>
      <c r="D10" s="205"/>
      <c r="E10" s="205"/>
      <c r="F10" s="205"/>
      <c r="G10" s="205"/>
    </row>
    <row r="11" spans="1:7" x14ac:dyDescent="0.3">
      <c r="A11" s="268"/>
      <c r="B11" s="268"/>
      <c r="C11" s="205"/>
      <c r="D11" s="205"/>
      <c r="E11" s="205"/>
      <c r="F11" s="205"/>
      <c r="G11" s="205"/>
    </row>
    <row r="12" spans="1:7" x14ac:dyDescent="0.3">
      <c r="A12" s="268"/>
      <c r="B12" s="268"/>
      <c r="C12" s="205"/>
      <c r="D12" s="205"/>
      <c r="E12" s="205"/>
      <c r="F12" s="205"/>
      <c r="G12" s="205"/>
    </row>
    <row r="13" spans="1:7" x14ac:dyDescent="0.3">
      <c r="A13" s="268"/>
      <c r="B13" s="268"/>
      <c r="C13" s="205"/>
      <c r="D13" s="205"/>
      <c r="E13" s="205"/>
      <c r="F13" s="205"/>
      <c r="G13" s="205"/>
    </row>
    <row r="14" spans="1:7" x14ac:dyDescent="0.3">
      <c r="A14" s="268"/>
      <c r="B14" s="268"/>
      <c r="C14" s="205"/>
      <c r="D14" s="205"/>
      <c r="E14" s="205"/>
      <c r="F14" s="205"/>
      <c r="G14" s="205"/>
    </row>
    <row r="15" spans="1:7" x14ac:dyDescent="0.3">
      <c r="A15" s="268"/>
      <c r="B15" s="268"/>
      <c r="C15" s="205"/>
      <c r="D15" s="205"/>
      <c r="E15" s="205"/>
      <c r="F15" s="205"/>
      <c r="G15" s="205"/>
    </row>
    <row r="16" spans="1:7" x14ac:dyDescent="0.3">
      <c r="A16" s="268"/>
      <c r="B16" s="268"/>
      <c r="C16" s="205"/>
      <c r="D16" s="205"/>
      <c r="E16" s="205"/>
      <c r="F16" s="205"/>
      <c r="G16" s="205"/>
    </row>
    <row r="17" spans="1:7" x14ac:dyDescent="0.3">
      <c r="A17" s="268"/>
      <c r="B17" s="268"/>
      <c r="C17" s="205"/>
      <c r="D17" s="205"/>
      <c r="E17" s="205"/>
      <c r="F17" s="205"/>
      <c r="G17" s="205"/>
    </row>
    <row r="18" spans="1:7" x14ac:dyDescent="0.3">
      <c r="A18" s="268"/>
      <c r="B18" s="268"/>
      <c r="C18" s="205"/>
      <c r="D18" s="205"/>
      <c r="E18" s="205"/>
      <c r="F18" s="205"/>
      <c r="G18" s="205"/>
    </row>
    <row r="19" spans="1:7" x14ac:dyDescent="0.3">
      <c r="A19" s="268"/>
      <c r="B19" s="268"/>
      <c r="C19" s="205"/>
      <c r="D19" s="205"/>
      <c r="E19" s="205"/>
      <c r="F19" s="205"/>
      <c r="G19" s="205"/>
    </row>
    <row r="20" spans="1:7" x14ac:dyDescent="0.3">
      <c r="A20" s="268"/>
      <c r="B20" s="268"/>
      <c r="C20" s="205"/>
      <c r="D20" s="205"/>
      <c r="E20" s="205"/>
      <c r="F20" s="205"/>
      <c r="G20" s="205"/>
    </row>
    <row r="21" spans="1:7" x14ac:dyDescent="0.3">
      <c r="A21" s="268"/>
      <c r="B21" s="268"/>
      <c r="C21" s="205"/>
      <c r="D21" s="205"/>
      <c r="E21" s="205"/>
      <c r="F21" s="205"/>
      <c r="G21" s="205"/>
    </row>
    <row r="22" spans="1:7" x14ac:dyDescent="0.3">
      <c r="A22" s="268"/>
      <c r="B22" s="268"/>
      <c r="C22" s="205"/>
      <c r="D22" s="205"/>
      <c r="E22" s="205"/>
      <c r="F22" s="205"/>
      <c r="G22" s="205"/>
    </row>
    <row r="23" spans="1:7" x14ac:dyDescent="0.3">
      <c r="A23" s="268"/>
      <c r="B23" s="268"/>
      <c r="C23" s="205"/>
      <c r="D23" s="205"/>
      <c r="E23" s="205"/>
      <c r="F23" s="205"/>
      <c r="G23" s="205"/>
    </row>
    <row r="24" spans="1:7" x14ac:dyDescent="0.3">
      <c r="A24" s="268"/>
      <c r="B24" s="268"/>
      <c r="C24" s="205"/>
      <c r="D24" s="205"/>
      <c r="E24" s="205"/>
      <c r="F24" s="205"/>
      <c r="G24" s="205"/>
    </row>
    <row r="25" spans="1:7" x14ac:dyDescent="0.3">
      <c r="A25" s="268"/>
      <c r="B25" s="268"/>
      <c r="C25" s="205"/>
      <c r="D25" s="205"/>
      <c r="E25" s="205"/>
      <c r="F25" s="205"/>
      <c r="G25" s="205"/>
    </row>
    <row r="26" spans="1:7" x14ac:dyDescent="0.3">
      <c r="A26" s="268"/>
      <c r="B26" s="268"/>
      <c r="C26" s="205"/>
      <c r="D26" s="205"/>
      <c r="E26" s="205"/>
      <c r="F26" s="205"/>
      <c r="G26" s="205"/>
    </row>
    <row r="27" spans="1:7" x14ac:dyDescent="0.3">
      <c r="A27" s="268"/>
      <c r="B27" s="268"/>
      <c r="C27" s="205"/>
      <c r="D27" s="205"/>
      <c r="E27" s="205"/>
      <c r="F27" s="205"/>
      <c r="G27" s="205"/>
    </row>
    <row r="28" spans="1:7" x14ac:dyDescent="0.3">
      <c r="A28" s="268"/>
      <c r="B28" s="268"/>
      <c r="C28" s="205"/>
      <c r="D28" s="205"/>
      <c r="E28" s="205"/>
      <c r="F28" s="205"/>
      <c r="G28" s="205"/>
    </row>
    <row r="29" spans="1:7" x14ac:dyDescent="0.3">
      <c r="A29" s="268"/>
      <c r="B29" s="268"/>
      <c r="C29" s="205"/>
      <c r="D29" s="205"/>
      <c r="E29" s="205"/>
      <c r="F29" s="205"/>
      <c r="G29" s="205"/>
    </row>
    <row r="30" spans="1:7" x14ac:dyDescent="0.3">
      <c r="A30" s="268"/>
      <c r="B30" s="268"/>
      <c r="C30" s="205"/>
      <c r="D30" s="205"/>
      <c r="E30" s="205"/>
      <c r="F30" s="205"/>
      <c r="G30" s="205"/>
    </row>
    <row r="31" spans="1:7" x14ac:dyDescent="0.3">
      <c r="A31" s="268"/>
      <c r="B31" s="268"/>
      <c r="C31" s="205"/>
      <c r="D31" s="205"/>
      <c r="E31" s="205"/>
      <c r="F31" s="205"/>
      <c r="G31" s="205"/>
    </row>
    <row r="32" spans="1:7" x14ac:dyDescent="0.3">
      <c r="A32" s="268"/>
      <c r="B32" s="268"/>
      <c r="C32" s="205"/>
      <c r="D32" s="205"/>
      <c r="E32" s="205"/>
      <c r="F32" s="205"/>
      <c r="G32" s="205"/>
    </row>
    <row r="33" spans="1:9" x14ac:dyDescent="0.3">
      <c r="A33" s="268"/>
      <c r="B33" s="268"/>
      <c r="C33" s="205"/>
      <c r="D33" s="205"/>
      <c r="E33" s="205"/>
      <c r="F33" s="205"/>
      <c r="G33" s="205"/>
    </row>
    <row r="34" spans="1:9" x14ac:dyDescent="0.3">
      <c r="A34" s="268"/>
      <c r="B34" s="268"/>
      <c r="C34" s="205"/>
      <c r="D34" s="205"/>
      <c r="E34" s="205"/>
      <c r="F34" s="205"/>
      <c r="G34" s="205"/>
    </row>
    <row r="35" spans="1:9" x14ac:dyDescent="0.3">
      <c r="A35" s="268"/>
      <c r="B35" s="268"/>
      <c r="C35" s="205"/>
      <c r="D35" s="205"/>
      <c r="E35" s="205"/>
      <c r="F35" s="205"/>
      <c r="G35" s="205"/>
    </row>
    <row r="36" spans="1:9" x14ac:dyDescent="0.3">
      <c r="A36" s="268"/>
      <c r="B36" s="268"/>
      <c r="C36" s="205"/>
      <c r="D36" s="205"/>
      <c r="E36" s="205"/>
      <c r="F36" s="205"/>
      <c r="G36" s="205"/>
    </row>
    <row r="37" spans="1:9" x14ac:dyDescent="0.3">
      <c r="A37" s="100"/>
      <c r="B37" s="91"/>
      <c r="C37" s="206"/>
      <c r="D37" s="206"/>
    </row>
    <row r="38" spans="1:9" x14ac:dyDescent="0.3">
      <c r="A38" s="91"/>
      <c r="B38" s="91"/>
      <c r="C38" s="206"/>
      <c r="D38" s="206"/>
    </row>
    <row r="39" spans="1:9" x14ac:dyDescent="0.3">
      <c r="A39" s="91"/>
      <c r="B39" s="91"/>
      <c r="C39" s="206"/>
      <c r="D39" s="206"/>
    </row>
    <row r="40" spans="1:9" x14ac:dyDescent="0.3">
      <c r="A40" s="100"/>
      <c r="B40" s="91"/>
      <c r="C40" s="271"/>
      <c r="D40" s="271"/>
    </row>
    <row r="41" spans="1:9" x14ac:dyDescent="0.3">
      <c r="A41" s="100" t="s">
        <v>265</v>
      </c>
      <c r="D41" s="16"/>
    </row>
    <row r="42" spans="1:9" ht="55.8" x14ac:dyDescent="0.3">
      <c r="A42" s="122" t="s">
        <v>13</v>
      </c>
      <c r="B42" s="122" t="s">
        <v>154</v>
      </c>
      <c r="C42" s="122" t="s">
        <v>34</v>
      </c>
      <c r="D42" s="345" t="s">
        <v>155</v>
      </c>
      <c r="E42" s="122" t="s">
        <v>161</v>
      </c>
      <c r="F42" s="122" t="s">
        <v>156</v>
      </c>
      <c r="G42" s="122" t="s">
        <v>162</v>
      </c>
      <c r="H42" s="122" t="str">
        <f>"Future Value in Project Year - "&amp;'CIP Summary'!$C$9</f>
        <v>Future Value in Project Year - Escalation</v>
      </c>
      <c r="I42" s="174" t="s">
        <v>179</v>
      </c>
    </row>
    <row r="43" spans="1:9" ht="28.2" x14ac:dyDescent="0.3">
      <c r="A43" s="127">
        <v>4</v>
      </c>
      <c r="B43" s="273" t="str">
        <f t="shared" ref="B43:B74" si="0">VLOOKUP($A43,CIP_Full,2,FALSE)</f>
        <v>Life-Safety Repairs</v>
      </c>
      <c r="C43" s="169" t="str">
        <f t="shared" ref="C43:C74" si="1">VLOOKUP($A43,CIP_Full,3,FALSE)</f>
        <v>Actiflo™</v>
      </c>
      <c r="D43" s="274" t="str">
        <f t="shared" ref="D43:D74" si="2">VLOOKUP($A43,CIP_Full,4,FALSE)</f>
        <v>Exterior stair guardrail height is less than 42” and has no dedicated handrail. Replace with current code-compliant installation. (LS3)</v>
      </c>
      <c r="E43" s="169">
        <f t="shared" ref="E43:E74" si="3">VLOOKUP($A43,CIP_Full,5,FALSE)</f>
        <v>6427</v>
      </c>
      <c r="F43" s="134" t="str">
        <f t="shared" ref="F43:F74" si="4">VLOOKUP($A43,CIP_Full,6,FALSE)</f>
        <v>No</v>
      </c>
      <c r="G43" s="130">
        <f t="shared" ref="G43:G74" si="5">VLOOKUP($A43,CIP_Full,10,FALSE)</f>
        <v>7069.7000000000007</v>
      </c>
      <c r="H43" s="130">
        <f t="shared" ref="H43:H74" si="6">VLOOKUP($A43,CIP_Full,13,FALSE)</f>
        <v>8195.7199230787101</v>
      </c>
      <c r="I43" s="298"/>
    </row>
    <row r="44" spans="1:9" ht="42" x14ac:dyDescent="0.3">
      <c r="A44" s="56">
        <v>5</v>
      </c>
      <c r="B44" s="273" t="str">
        <f t="shared" si="0"/>
        <v>Life-Safety Repairs</v>
      </c>
      <c r="C44" s="169" t="str">
        <f t="shared" si="1"/>
        <v>Actiflo™</v>
      </c>
      <c r="D44" s="274" t="str">
        <f t="shared" si="2"/>
        <v>Active leaks observed in the ozone gallery, creating a slip hazard.  Pressure inject hydrophobic sealant into active leaks.  Leaking joints may require negative side joint covers. (LS9)</v>
      </c>
      <c r="E44" s="169">
        <f t="shared" si="3"/>
        <v>36136</v>
      </c>
      <c r="F44" s="134" t="str">
        <f t="shared" si="4"/>
        <v>No</v>
      </c>
      <c r="G44" s="130">
        <f t="shared" si="5"/>
        <v>39749.600000000006</v>
      </c>
      <c r="H44" s="130">
        <f t="shared" si="6"/>
        <v>46080.680743795281</v>
      </c>
      <c r="I44" s="299"/>
    </row>
    <row r="45" spans="1:9" ht="28.2" x14ac:dyDescent="0.3">
      <c r="A45" s="56">
        <v>6</v>
      </c>
      <c r="B45" s="273" t="str">
        <f t="shared" si="0"/>
        <v>Life-Safety Repairs</v>
      </c>
      <c r="C45" s="169" t="str">
        <f t="shared" si="1"/>
        <v>Actiflo™</v>
      </c>
      <c r="D45" s="274" t="str">
        <f t="shared" si="2"/>
        <v>The rated electrical service is 1200 amps or greater requiring two exits with panic hardware.  Install panic hardware on doors. (LS4)</v>
      </c>
      <c r="E45" s="169">
        <f t="shared" si="3"/>
        <v>7011</v>
      </c>
      <c r="F45" s="134" t="str">
        <f t="shared" si="4"/>
        <v>No</v>
      </c>
      <c r="G45" s="130">
        <f t="shared" si="5"/>
        <v>7712.1</v>
      </c>
      <c r="H45" s="130">
        <f t="shared" si="6"/>
        <v>8940.4375884090296</v>
      </c>
      <c r="I45" s="299"/>
    </row>
    <row r="46" spans="1:9" ht="28.2" x14ac:dyDescent="0.3">
      <c r="A46" s="56">
        <v>7</v>
      </c>
      <c r="B46" s="273" t="str">
        <f t="shared" si="0"/>
        <v>Life-Safety Repairs</v>
      </c>
      <c r="C46" s="169" t="str">
        <f t="shared" si="1"/>
        <v>Actiflo™</v>
      </c>
      <c r="D46" s="274" t="str">
        <f t="shared" si="2"/>
        <v>The west guardrail on top of the Actiflo™ tanks does not have continuous kickplates.  Install new kickplates as required.  (LS8)</v>
      </c>
      <c r="E46" s="169">
        <f t="shared" si="3"/>
        <v>2305</v>
      </c>
      <c r="F46" s="134" t="str">
        <f t="shared" si="4"/>
        <v>No</v>
      </c>
      <c r="G46" s="130">
        <f t="shared" si="5"/>
        <v>2535.5</v>
      </c>
      <c r="H46" s="130">
        <f t="shared" si="6"/>
        <v>2939.3394153876498</v>
      </c>
      <c r="I46" s="299"/>
    </row>
    <row r="47" spans="1:9" ht="28.2" x14ac:dyDescent="0.3">
      <c r="A47" s="56">
        <v>8</v>
      </c>
      <c r="B47" s="273" t="str">
        <f t="shared" si="0"/>
        <v>Life-Safety Repairs</v>
      </c>
      <c r="C47" s="169" t="str">
        <f t="shared" si="1"/>
        <v>Actiflo™</v>
      </c>
      <c r="D47" s="274" t="str">
        <f t="shared" si="2"/>
        <v>Electrical outlets on gallery walls are in a wet area.  Replace with GFCI protected outlets. (LS10)</v>
      </c>
      <c r="E47" s="169">
        <f t="shared" si="3"/>
        <v>2425</v>
      </c>
      <c r="F47" s="134" t="str">
        <f t="shared" si="4"/>
        <v>No</v>
      </c>
      <c r="G47" s="130">
        <f t="shared" si="5"/>
        <v>2667.5</v>
      </c>
      <c r="H47" s="130">
        <f t="shared" si="6"/>
        <v>3092.3635931952495</v>
      </c>
      <c r="I47" s="299"/>
    </row>
    <row r="48" spans="1:9" ht="42" x14ac:dyDescent="0.3">
      <c r="A48" s="56">
        <v>9</v>
      </c>
      <c r="B48" s="273" t="str">
        <f t="shared" si="0"/>
        <v>Life-Safety Repairs</v>
      </c>
      <c r="C48" s="169" t="str">
        <f t="shared" si="1"/>
        <v>Actiflo™</v>
      </c>
      <c r="D48" s="274" t="str">
        <f t="shared" si="2"/>
        <v>The doors were propped open and appear to be their normal position. Suspect that ventilation in the room is not adequate. Investigate ventilation and correct as required at Actiflo™ building. (LS7)</v>
      </c>
      <c r="E48" s="169">
        <f t="shared" si="3"/>
        <v>33171</v>
      </c>
      <c r="F48" s="134" t="str">
        <f t="shared" si="4"/>
        <v>No</v>
      </c>
      <c r="G48" s="130">
        <f t="shared" si="5"/>
        <v>36488.100000000006</v>
      </c>
      <c r="H48" s="130">
        <f t="shared" si="6"/>
        <v>42299.708350465829</v>
      </c>
      <c r="I48" s="299"/>
    </row>
    <row r="49" spans="1:9" ht="42" x14ac:dyDescent="0.3">
      <c r="A49" s="56">
        <v>32</v>
      </c>
      <c r="B49" s="273" t="str">
        <f t="shared" si="0"/>
        <v>Life-Safety Repairs</v>
      </c>
      <c r="C49" s="273" t="str">
        <f t="shared" si="1"/>
        <v>Chemical Storage/ Ozone Generation</v>
      </c>
      <c r="D49" s="274" t="str">
        <f t="shared" si="2"/>
        <v>The chemical pipes that run through the center of the Chemical Storage Room are not seismically braced.  Ozone and LOX piping in the Ozone Generation Room are not sesimically braced.  Provide seismic bracing for these lines. (LS19, LS20)</v>
      </c>
      <c r="E49" s="169">
        <f t="shared" si="3"/>
        <v>36926</v>
      </c>
      <c r="F49" s="134" t="str">
        <f t="shared" si="4"/>
        <v>No</v>
      </c>
      <c r="G49" s="130">
        <f t="shared" si="5"/>
        <v>40618.600000000006</v>
      </c>
      <c r="H49" s="130">
        <f t="shared" si="6"/>
        <v>47088.089914361983</v>
      </c>
      <c r="I49" s="299"/>
    </row>
    <row r="50" spans="1:9" ht="42" x14ac:dyDescent="0.3">
      <c r="A50" s="56">
        <v>33</v>
      </c>
      <c r="B50" s="273" t="str">
        <f t="shared" si="0"/>
        <v>Life-Safety Repairs</v>
      </c>
      <c r="C50" s="273" t="str">
        <f t="shared" si="1"/>
        <v>Chemical Storage/ Ozone Generation</v>
      </c>
      <c r="D50" s="274" t="str">
        <f t="shared" si="2"/>
        <v>Color-coded NFPA placards have faded.  Replace all faded NFPA placards (LS2)</v>
      </c>
      <c r="E50" s="169">
        <f t="shared" si="3"/>
        <v>9205</v>
      </c>
      <c r="F50" s="134" t="str">
        <f t="shared" si="4"/>
        <v>No</v>
      </c>
      <c r="G50" s="130">
        <f t="shared" si="5"/>
        <v>10125.5</v>
      </c>
      <c r="H50" s="130">
        <f t="shared" si="6"/>
        <v>11738.229639324649</v>
      </c>
      <c r="I50" s="299"/>
    </row>
    <row r="51" spans="1:9" ht="42" x14ac:dyDescent="0.3">
      <c r="A51" s="56">
        <v>34</v>
      </c>
      <c r="B51" s="273" t="str">
        <f t="shared" si="0"/>
        <v>Life-Safety Repairs</v>
      </c>
      <c r="C51" s="169" t="str">
        <f t="shared" si="1"/>
        <v>Chemical Storage/ Ozone Generation</v>
      </c>
      <c r="D51" s="274" t="str">
        <f t="shared" si="2"/>
        <v>Chemical Storage and Ozone Generation Rooms are Group H occupancy or rated electrical service of 1200 A.  Install panic hardware on three exit doors in the chemical storage and ozone generation building. (LS4; LS5)</v>
      </c>
      <c r="E51" s="169">
        <f t="shared" si="3"/>
        <v>10517</v>
      </c>
      <c r="F51" s="134" t="str">
        <f t="shared" si="4"/>
        <v>No</v>
      </c>
      <c r="G51" s="130">
        <f t="shared" si="5"/>
        <v>11568.7</v>
      </c>
      <c r="H51" s="130">
        <f t="shared" si="6"/>
        <v>13411.29398335441</v>
      </c>
      <c r="I51" s="299"/>
    </row>
    <row r="52" spans="1:9" ht="28.2" x14ac:dyDescent="0.3">
      <c r="A52" s="56">
        <v>35</v>
      </c>
      <c r="B52" s="273" t="str">
        <f t="shared" si="0"/>
        <v>Life-Safety Repairs</v>
      </c>
      <c r="C52" s="169" t="str">
        <f t="shared" si="1"/>
        <v>Chemical Storage/ Ozone Generation</v>
      </c>
      <c r="D52" s="274" t="str">
        <f t="shared" si="2"/>
        <v>Change swing direction on exit door between the ozone generation and administration building (LS5)</v>
      </c>
      <c r="E52" s="169">
        <f t="shared" si="3"/>
        <v>5067</v>
      </c>
      <c r="F52" s="134" t="str">
        <f t="shared" si="4"/>
        <v>No</v>
      </c>
      <c r="G52" s="130">
        <f t="shared" si="5"/>
        <v>5573.7000000000007</v>
      </c>
      <c r="H52" s="130">
        <f t="shared" si="6"/>
        <v>6461.4459079259104</v>
      </c>
      <c r="I52" s="299"/>
    </row>
    <row r="53" spans="1:9" ht="42" x14ac:dyDescent="0.3">
      <c r="A53" s="56">
        <v>36</v>
      </c>
      <c r="B53" s="273" t="str">
        <f t="shared" si="0"/>
        <v>Life-Safety Repairs</v>
      </c>
      <c r="C53" s="169" t="str">
        <f t="shared" si="1"/>
        <v>Chemical Storage/ Ozone Generation</v>
      </c>
      <c r="D53" s="274" t="str">
        <f t="shared" si="2"/>
        <v>Chemical lines pass above egress routes.  Add containment pans to chemical conveyance lines that are located above doorways in the chemical storage and ozone generation building (LS6)</v>
      </c>
      <c r="E53" s="169">
        <f t="shared" si="3"/>
        <v>11985</v>
      </c>
      <c r="F53" s="134" t="str">
        <f t="shared" si="4"/>
        <v>No</v>
      </c>
      <c r="G53" s="130">
        <f t="shared" si="5"/>
        <v>13183.500000000002</v>
      </c>
      <c r="H53" s="130">
        <f t="shared" si="6"/>
        <v>15283.289758534051</v>
      </c>
      <c r="I53" s="299"/>
    </row>
    <row r="54" spans="1:9" ht="28.2" x14ac:dyDescent="0.3">
      <c r="A54" s="56">
        <v>37</v>
      </c>
      <c r="B54" s="273" t="str">
        <f t="shared" si="0"/>
        <v>Life-Safety Repairs</v>
      </c>
      <c r="C54" s="169" t="str">
        <f t="shared" si="1"/>
        <v>Chemical Storage/ Ozone Generation</v>
      </c>
      <c r="D54" s="274" t="str">
        <f t="shared" si="2"/>
        <v>Install emergency shut-off at the two other exits in the Ozone Generation Room exits (LS15)</v>
      </c>
      <c r="E54" s="169">
        <f t="shared" si="3"/>
        <v>11664</v>
      </c>
      <c r="F54" s="134" t="str">
        <f t="shared" si="4"/>
        <v>No</v>
      </c>
      <c r="G54" s="130">
        <f t="shared" si="5"/>
        <v>12830.400000000001</v>
      </c>
      <c r="H54" s="130">
        <f t="shared" si="6"/>
        <v>14873.95008289872</v>
      </c>
      <c r="I54" s="299"/>
    </row>
    <row r="55" spans="1:9" ht="28.2" x14ac:dyDescent="0.3">
      <c r="A55" s="56">
        <v>61</v>
      </c>
      <c r="B55" s="273" t="str">
        <f t="shared" si="0"/>
        <v>Life-Safety Repairs</v>
      </c>
      <c r="C55" s="169" t="str">
        <f t="shared" si="1"/>
        <v>Filters</v>
      </c>
      <c r="D55" s="274" t="str">
        <f t="shared" si="2"/>
        <v>Exterior stair guardrail height is less than 42” and has no dedicated handrail. Replace with current code-compliant installation. (LS3)</v>
      </c>
      <c r="E55" s="169">
        <f t="shared" si="3"/>
        <v>6427</v>
      </c>
      <c r="F55" s="134" t="str">
        <f t="shared" si="4"/>
        <v>No</v>
      </c>
      <c r="G55" s="130">
        <f t="shared" si="5"/>
        <v>7069.7000000000007</v>
      </c>
      <c r="H55" s="130">
        <f t="shared" si="6"/>
        <v>8195.7199230787101</v>
      </c>
      <c r="I55" s="299"/>
    </row>
    <row r="56" spans="1:9" ht="42" x14ac:dyDescent="0.3">
      <c r="A56" s="56">
        <v>62</v>
      </c>
      <c r="B56" s="273" t="str">
        <f t="shared" si="0"/>
        <v>Life-Safety Repairs</v>
      </c>
      <c r="C56" s="169" t="str">
        <f t="shared" si="1"/>
        <v>Filters</v>
      </c>
      <c r="D56" s="274" t="str">
        <f t="shared" si="2"/>
        <v>Active leaks observed in the ozone gallery, creating a slip hazard.  Pressure inject hydrophobic sealant into active leaks.  Leaking joints may require negative side joint covers. (LS9)</v>
      </c>
      <c r="E56" s="169">
        <f t="shared" si="3"/>
        <v>34854</v>
      </c>
      <c r="F56" s="134" t="str">
        <f t="shared" si="4"/>
        <v>No</v>
      </c>
      <c r="G56" s="130">
        <f t="shared" si="5"/>
        <v>38339.4</v>
      </c>
      <c r="H56" s="130">
        <f t="shared" si="6"/>
        <v>44445.872444217413</v>
      </c>
      <c r="I56" s="299"/>
    </row>
    <row r="57" spans="1:9" ht="28.2" x14ac:dyDescent="0.3">
      <c r="A57" s="56">
        <v>63</v>
      </c>
      <c r="B57" s="273" t="str">
        <f t="shared" si="0"/>
        <v>Life-Safety Repairs</v>
      </c>
      <c r="C57" s="169" t="str">
        <f t="shared" si="1"/>
        <v>Filters</v>
      </c>
      <c r="D57" s="274" t="str">
        <f t="shared" si="2"/>
        <v>The west guardrail on top of the the Filter ladder pit does not have continuous kickplates.  Install new kickplates as required.  (LS8)</v>
      </c>
      <c r="E57" s="169">
        <f t="shared" si="3"/>
        <v>2305</v>
      </c>
      <c r="F57" s="134" t="str">
        <f t="shared" si="4"/>
        <v>No</v>
      </c>
      <c r="G57" s="130">
        <f t="shared" si="5"/>
        <v>2535.5</v>
      </c>
      <c r="H57" s="130">
        <f t="shared" si="6"/>
        <v>2939.3394153876498</v>
      </c>
      <c r="I57" s="299"/>
    </row>
    <row r="58" spans="1:9" ht="28.2" x14ac:dyDescent="0.3">
      <c r="A58" s="56">
        <v>64</v>
      </c>
      <c r="B58" s="273" t="str">
        <f t="shared" si="0"/>
        <v>Life-Safety Repairs</v>
      </c>
      <c r="C58" s="169" t="str">
        <f t="shared" si="1"/>
        <v>Filters</v>
      </c>
      <c r="D58" s="274" t="str">
        <f t="shared" si="2"/>
        <v>Electrical outlets on gallery walls are in a wet area.  Replace with GFCI protected outlets. (LS10)</v>
      </c>
      <c r="E58" s="169">
        <f t="shared" si="3"/>
        <v>4851</v>
      </c>
      <c r="F58" s="134" t="str">
        <f t="shared" si="4"/>
        <v>No</v>
      </c>
      <c r="G58" s="130">
        <f t="shared" si="5"/>
        <v>5336.1</v>
      </c>
      <c r="H58" s="130">
        <f t="shared" si="6"/>
        <v>6186.0023878722295</v>
      </c>
      <c r="I58" s="299"/>
    </row>
    <row r="59" spans="1:9" ht="28.2" x14ac:dyDescent="0.3">
      <c r="A59" s="56">
        <v>65</v>
      </c>
      <c r="B59" s="273" t="str">
        <f t="shared" si="0"/>
        <v>Life-Safety Repairs</v>
      </c>
      <c r="C59" s="169" t="str">
        <f t="shared" si="1"/>
        <v>Filters</v>
      </c>
      <c r="D59" s="274" t="str">
        <f t="shared" si="2"/>
        <v>Add a fire-rated door at the bottom of the filter gallery stairs and add signage to existing ladder pit door to clarify that it is not an exit. (LS12)</v>
      </c>
      <c r="E59" s="169">
        <f t="shared" si="3"/>
        <v>3505</v>
      </c>
      <c r="F59" s="134" t="str">
        <f t="shared" si="4"/>
        <v>No</v>
      </c>
      <c r="G59" s="130">
        <f t="shared" si="5"/>
        <v>3855.5000000000005</v>
      </c>
      <c r="H59" s="130">
        <f t="shared" si="6"/>
        <v>4469.5811934636504</v>
      </c>
      <c r="I59" s="299"/>
    </row>
    <row r="60" spans="1:9" ht="42" x14ac:dyDescent="0.3">
      <c r="A60" s="56">
        <v>66</v>
      </c>
      <c r="B60" s="273" t="str">
        <f t="shared" si="0"/>
        <v>Life-Safety Repairs</v>
      </c>
      <c r="C60" s="169" t="str">
        <f t="shared" si="1"/>
        <v>Filters</v>
      </c>
      <c r="D60" s="274" t="str">
        <f t="shared" si="2"/>
        <v>The doors for various rooms were propped open and appear to be their normal position. Suspect that ventilation in the room is not adequate. Investigate ventilation and correct as required in the air scour blower room. (LS7)</v>
      </c>
      <c r="E60" s="169">
        <f t="shared" si="3"/>
        <v>43493</v>
      </c>
      <c r="F60" s="134" t="str">
        <f t="shared" si="4"/>
        <v>No</v>
      </c>
      <c r="G60" s="130">
        <f t="shared" si="5"/>
        <v>47842.3</v>
      </c>
      <c r="H60" s="130">
        <f t="shared" si="6"/>
        <v>55462.338044882883</v>
      </c>
      <c r="I60" s="299"/>
    </row>
    <row r="61" spans="1:9" ht="28.2" x14ac:dyDescent="0.3">
      <c r="A61" s="56">
        <v>79</v>
      </c>
      <c r="B61" s="273" t="str">
        <f t="shared" si="0"/>
        <v>Life-Safety Repairs</v>
      </c>
      <c r="C61" s="273" t="str">
        <f t="shared" si="1"/>
        <v>Finished Water Pump Station</v>
      </c>
      <c r="D61" s="274" t="str">
        <f t="shared" si="2"/>
        <v>The cable trays lack longitudinal bracing.  Add bracing to existing cable trays.  (LS18)</v>
      </c>
      <c r="E61" s="169">
        <f t="shared" si="3"/>
        <v>14553</v>
      </c>
      <c r="F61" s="134" t="str">
        <f t="shared" si="4"/>
        <v>No</v>
      </c>
      <c r="G61" s="130">
        <f t="shared" si="5"/>
        <v>16008.300000000001</v>
      </c>
      <c r="H61" s="130">
        <f t="shared" si="6"/>
        <v>18558.00716361669</v>
      </c>
      <c r="I61" s="299"/>
    </row>
    <row r="62" spans="1:9" ht="28.2" x14ac:dyDescent="0.3">
      <c r="A62" s="56">
        <v>80</v>
      </c>
      <c r="B62" s="273" t="str">
        <f t="shared" si="0"/>
        <v>Life-Safety Repairs</v>
      </c>
      <c r="C62" s="273" t="str">
        <f t="shared" si="1"/>
        <v>Finished Water Pump Station</v>
      </c>
      <c r="D62" s="274" t="str">
        <f t="shared" si="2"/>
        <v>The rated electrical service is 1200 amps or greater requiring two exits with panic hardware.  Install panic hardware on doors. (LS4)</v>
      </c>
      <c r="E62" s="169">
        <f t="shared" si="3"/>
        <v>7011</v>
      </c>
      <c r="F62" s="134" t="str">
        <f t="shared" si="4"/>
        <v>No</v>
      </c>
      <c r="G62" s="130">
        <f t="shared" si="5"/>
        <v>7712.1</v>
      </c>
      <c r="H62" s="130">
        <f t="shared" si="6"/>
        <v>8940.4375884090296</v>
      </c>
      <c r="I62" s="299"/>
    </row>
    <row r="63" spans="1:9" ht="42" x14ac:dyDescent="0.3">
      <c r="A63" s="56">
        <v>81</v>
      </c>
      <c r="B63" s="273" t="str">
        <f t="shared" si="0"/>
        <v>Life-Safety Repairs</v>
      </c>
      <c r="C63" s="273" t="str">
        <f t="shared" si="1"/>
        <v>Finished Water Pump Station</v>
      </c>
      <c r="D63" s="274" t="str">
        <f t="shared" si="2"/>
        <v>The doors for various rooms were propped open and appear to be their normal position. Suspect that ventilation in the room is not adequate. Investigate ventilation and correct as required in the finished water pump station. (LS7)</v>
      </c>
      <c r="E63" s="169">
        <f t="shared" si="3"/>
        <v>81982</v>
      </c>
      <c r="F63" s="134" t="str">
        <f t="shared" si="4"/>
        <v>No</v>
      </c>
      <c r="G63" s="130">
        <f t="shared" si="5"/>
        <v>90180.200000000012</v>
      </c>
      <c r="H63" s="130">
        <f t="shared" si="6"/>
        <v>104543.56787518886</v>
      </c>
      <c r="I63" s="299"/>
    </row>
    <row r="64" spans="1:9" ht="28.2" x14ac:dyDescent="0.3">
      <c r="A64" s="56">
        <v>82</v>
      </c>
      <c r="B64" s="273" t="str">
        <f t="shared" si="0"/>
        <v>Life-Safety Repairs</v>
      </c>
      <c r="C64" s="273" t="str">
        <f t="shared" si="1"/>
        <v>Finished Water Pump Station</v>
      </c>
      <c r="D64" s="274" t="str">
        <f t="shared" si="2"/>
        <v>Switchgear Room has rated electrical service is 1200 amps or greater requiring two exits with panic hardware.  Install panic hardware on doors. (LS4)</v>
      </c>
      <c r="E64" s="169">
        <f t="shared" si="3"/>
        <v>7011</v>
      </c>
      <c r="F64" s="134" t="str">
        <f t="shared" si="4"/>
        <v>No</v>
      </c>
      <c r="G64" s="130">
        <f t="shared" si="5"/>
        <v>7712.1</v>
      </c>
      <c r="H64" s="130">
        <f t="shared" si="6"/>
        <v>8940.4375884090296</v>
      </c>
      <c r="I64" s="299"/>
    </row>
    <row r="65" spans="1:9" ht="42" x14ac:dyDescent="0.3">
      <c r="A65" s="56">
        <v>102</v>
      </c>
      <c r="B65" s="273" t="str">
        <f t="shared" si="0"/>
        <v>Life-Safety Repairs</v>
      </c>
      <c r="C65" s="169" t="str">
        <f t="shared" si="1"/>
        <v>Ozonation</v>
      </c>
      <c r="D65" s="274" t="str">
        <f t="shared" si="2"/>
        <v>The ozone destruct pipe on the top side is not seismically braced or marked.  Add chemical service label and provide seismic bracing down to the concrete deck. (LS17)</v>
      </c>
      <c r="E65" s="169">
        <f t="shared" si="3"/>
        <v>11809</v>
      </c>
      <c r="F65" s="134" t="str">
        <f t="shared" si="4"/>
        <v>No</v>
      </c>
      <c r="G65" s="130">
        <f t="shared" si="5"/>
        <v>12989.900000000001</v>
      </c>
      <c r="H65" s="130">
        <f t="shared" si="6"/>
        <v>15058.854297749569</v>
      </c>
      <c r="I65" s="299"/>
    </row>
    <row r="66" spans="1:9" ht="28.2" x14ac:dyDescent="0.3">
      <c r="A66" s="56">
        <v>103</v>
      </c>
      <c r="B66" s="273" t="str">
        <f t="shared" si="0"/>
        <v>Life-Safety Repairs</v>
      </c>
      <c r="C66" s="169" t="str">
        <f t="shared" si="1"/>
        <v>Ozonation</v>
      </c>
      <c r="D66" s="274" t="str">
        <f t="shared" si="2"/>
        <v>Exterior stair guardrail height is less than 42” and has no dedicated handrail. Replace with current code-compliant installation. (LS3)</v>
      </c>
      <c r="E66" s="169">
        <f t="shared" si="3"/>
        <v>6427</v>
      </c>
      <c r="F66" s="134" t="str">
        <f t="shared" si="4"/>
        <v>No</v>
      </c>
      <c r="G66" s="130">
        <f t="shared" si="5"/>
        <v>7069.7000000000007</v>
      </c>
      <c r="H66" s="130">
        <f t="shared" si="6"/>
        <v>8195.7199230787101</v>
      </c>
      <c r="I66" s="299"/>
    </row>
    <row r="67" spans="1:9" ht="42" x14ac:dyDescent="0.3">
      <c r="A67" s="56">
        <v>104</v>
      </c>
      <c r="B67" s="273" t="str">
        <f t="shared" si="0"/>
        <v>Life-Safety Repairs</v>
      </c>
      <c r="C67" s="169" t="str">
        <f t="shared" si="1"/>
        <v>Ozonation</v>
      </c>
      <c r="D67" s="274" t="str">
        <f t="shared" si="2"/>
        <v>Active leaks observed in the ozone gallery, creating a slip hazard.  Pressure inject hydrophobic sealant into active leaks.  Leaking joints may require negative side joint covers. (LS9)</v>
      </c>
      <c r="E67" s="169">
        <f t="shared" si="3"/>
        <v>44468</v>
      </c>
      <c r="F67" s="134" t="str">
        <f t="shared" si="4"/>
        <v>No</v>
      </c>
      <c r="G67" s="130">
        <f t="shared" si="5"/>
        <v>48914.8</v>
      </c>
      <c r="H67" s="130">
        <f t="shared" si="6"/>
        <v>56705.659489569633</v>
      </c>
      <c r="I67" s="299"/>
    </row>
    <row r="68" spans="1:9" ht="28.2" x14ac:dyDescent="0.3">
      <c r="A68" s="56">
        <v>105</v>
      </c>
      <c r="B68" s="273" t="str">
        <f t="shared" si="0"/>
        <v>Life-Safety Repairs</v>
      </c>
      <c r="C68" s="169" t="str">
        <f t="shared" si="1"/>
        <v>Ozonation</v>
      </c>
      <c r="D68" s="274" t="str">
        <f t="shared" si="2"/>
        <v>Electrical outlets on gallery walls are in a wet area.  Replace with GFCI protected outlets. (LS10)</v>
      </c>
      <c r="E68" s="169">
        <f t="shared" si="3"/>
        <v>2425</v>
      </c>
      <c r="F68" s="134" t="str">
        <f t="shared" si="4"/>
        <v>No</v>
      </c>
      <c r="G68" s="130">
        <f t="shared" si="5"/>
        <v>2667.5</v>
      </c>
      <c r="H68" s="130">
        <f t="shared" si="6"/>
        <v>3092.3635931952495</v>
      </c>
      <c r="I68" s="299"/>
    </row>
    <row r="69" spans="1:9" ht="28.2" x14ac:dyDescent="0.3">
      <c r="A69" s="56">
        <v>106</v>
      </c>
      <c r="B69" s="273" t="str">
        <f t="shared" si="0"/>
        <v>Life-Safety Repairs</v>
      </c>
      <c r="C69" s="169" t="str">
        <f t="shared" si="1"/>
        <v>Ozonation</v>
      </c>
      <c r="D69" s="274" t="str">
        <f t="shared" si="2"/>
        <v>The south stairwell does not have any ventilation system serving it directly. Investigate and repair as required. (LS11)</v>
      </c>
      <c r="E69" s="169">
        <f t="shared" si="3"/>
        <v>10499</v>
      </c>
      <c r="F69" s="134" t="str">
        <f t="shared" si="4"/>
        <v>No</v>
      </c>
      <c r="G69" s="130">
        <f t="shared" si="5"/>
        <v>11548.900000000001</v>
      </c>
      <c r="H69" s="130">
        <f t="shared" si="6"/>
        <v>13388.340356683269</v>
      </c>
      <c r="I69" s="299"/>
    </row>
    <row r="70" spans="1:9" ht="42" x14ac:dyDescent="0.3">
      <c r="A70" s="56">
        <v>115</v>
      </c>
      <c r="B70" s="273" t="str">
        <f t="shared" si="0"/>
        <v>Life-Safety Repairs</v>
      </c>
      <c r="C70" s="169" t="str">
        <f t="shared" si="1"/>
        <v>Sitewide</v>
      </c>
      <c r="D70" s="274" t="str">
        <f t="shared" si="2"/>
        <v>The space heaters throughout the plant are laterally braced above their center of gravity. The space heaters at the Switchgear Room are not braced.  Provide additional seismic bracing to approximately eight locations. (LS16)</v>
      </c>
      <c r="E70" s="169">
        <f t="shared" si="3"/>
        <v>11827</v>
      </c>
      <c r="F70" s="134" t="str">
        <f t="shared" si="4"/>
        <v>No</v>
      </c>
      <c r="G70" s="130">
        <f t="shared" si="5"/>
        <v>13009.7</v>
      </c>
      <c r="H70" s="130">
        <f t="shared" si="6"/>
        <v>15081.807924420709</v>
      </c>
      <c r="I70" s="299"/>
    </row>
    <row r="71" spans="1:9" ht="28.2" x14ac:dyDescent="0.3">
      <c r="A71" s="56">
        <v>116</v>
      </c>
      <c r="B71" s="273" t="str">
        <f t="shared" si="0"/>
        <v>Life-Safety Repairs</v>
      </c>
      <c r="C71" s="169" t="str">
        <f t="shared" si="1"/>
        <v>Sitewide</v>
      </c>
      <c r="D71" s="274" t="str">
        <f t="shared" si="2"/>
        <v>Tread plate hatches do not have provisions for installing temporary fall protection barriers.  Install sleeves or other hardware for temporary fall protection. (LS1)</v>
      </c>
      <c r="E71" s="169">
        <f t="shared" si="3"/>
        <v>42284</v>
      </c>
      <c r="F71" s="134" t="str">
        <f t="shared" si="4"/>
        <v>No</v>
      </c>
      <c r="G71" s="130">
        <f t="shared" si="5"/>
        <v>46512.4</v>
      </c>
      <c r="H71" s="130">
        <f t="shared" si="6"/>
        <v>53920.619453471314</v>
      </c>
      <c r="I71" s="299"/>
    </row>
    <row r="72" spans="1:9" ht="28.2" x14ac:dyDescent="0.3">
      <c r="A72" s="56">
        <v>119</v>
      </c>
      <c r="B72" s="273" t="str">
        <f t="shared" si="0"/>
        <v>Life-Safety Repairs</v>
      </c>
      <c r="C72" s="273" t="str">
        <f t="shared" si="1"/>
        <v>Solids - Dewatering</v>
      </c>
      <c r="D72" s="274" t="str">
        <f t="shared" si="2"/>
        <v>The Solids Handling Building roof does not appear to have an overflow scupper.  Provide an overflow scupper with downspout.  (LS14)</v>
      </c>
      <c r="E72" s="169">
        <f t="shared" si="3"/>
        <v>8855</v>
      </c>
      <c r="F72" s="134" t="str">
        <f t="shared" si="4"/>
        <v>No</v>
      </c>
      <c r="G72" s="130">
        <f t="shared" si="5"/>
        <v>9740.5</v>
      </c>
      <c r="H72" s="130">
        <f t="shared" si="6"/>
        <v>11291.909120719149</v>
      </c>
      <c r="I72" s="299"/>
    </row>
    <row r="73" spans="1:9" ht="31.95" customHeight="1" x14ac:dyDescent="0.3">
      <c r="A73" s="56">
        <v>133</v>
      </c>
      <c r="B73" s="273" t="str">
        <f t="shared" si="0"/>
        <v>Life-Safety Repairs</v>
      </c>
      <c r="C73" s="169" t="str">
        <f t="shared" si="1"/>
        <v>WWEQ Basin</v>
      </c>
      <c r="D73" s="274" t="str">
        <f t="shared" si="2"/>
        <v>Verify how fall restraint is provided when using the ladder into the waste washwaster equalization basin and provide additional hardware as required. (LS13)</v>
      </c>
      <c r="E73" s="169">
        <f t="shared" si="3"/>
        <v>7546</v>
      </c>
      <c r="F73" s="134" t="str">
        <f t="shared" si="4"/>
        <v>No</v>
      </c>
      <c r="G73" s="130">
        <f t="shared" si="5"/>
        <v>8300.6</v>
      </c>
      <c r="H73" s="130">
        <f t="shared" si="6"/>
        <v>9622.6703811345797</v>
      </c>
      <c r="I73" s="299"/>
    </row>
    <row r="74" spans="1:9" ht="47.4" customHeight="1" x14ac:dyDescent="0.3">
      <c r="A74" s="56">
        <v>134</v>
      </c>
      <c r="B74" s="273" t="str">
        <f t="shared" si="0"/>
        <v>Life-Safety Repairs</v>
      </c>
      <c r="C74" s="169" t="str">
        <f t="shared" si="1"/>
        <v>WWEQ Basin</v>
      </c>
      <c r="D74" s="274" t="str">
        <f t="shared" si="2"/>
        <v>The doors for various rooms were propped open and appear to be their normal position. Suspect that ventilation in the room is not adequate. Investigate ventilation and correct as required at waste washwater equalization basin. (LS7)</v>
      </c>
      <c r="E74" s="169">
        <f t="shared" si="3"/>
        <v>35168</v>
      </c>
      <c r="F74" s="134" t="str">
        <f t="shared" si="4"/>
        <v>No</v>
      </c>
      <c r="G74" s="130">
        <f t="shared" si="5"/>
        <v>38684.800000000003</v>
      </c>
      <c r="H74" s="130">
        <f t="shared" si="6"/>
        <v>44846.285709480639</v>
      </c>
      <c r="I74" s="299"/>
    </row>
    <row r="75" spans="1:9" x14ac:dyDescent="0.3">
      <c r="A75" s="208" t="s">
        <v>3</v>
      </c>
      <c r="B75" s="209"/>
      <c r="C75" s="2"/>
      <c r="D75" s="209"/>
      <c r="E75" s="209"/>
      <c r="F75" s="209"/>
      <c r="G75" s="209"/>
      <c r="H75" s="209"/>
      <c r="I75" s="210"/>
    </row>
    <row r="76" spans="1:9" x14ac:dyDescent="0.3">
      <c r="A76" s="14" t="s">
        <v>2</v>
      </c>
      <c r="B76" s="138" t="str">
        <f>"In "&amp;TEXT(estimate_date,"mm/yy")&amp;" dollars. Assuming "&amp;Admin*100&amp;"% for legal and administration costs."</f>
        <v>In 09/17 dollars. Assuming 10% for legal and administration costs.</v>
      </c>
      <c r="C76" s="137"/>
      <c r="D76" s="137"/>
      <c r="E76" s="137"/>
      <c r="F76" s="137"/>
      <c r="G76" s="137"/>
      <c r="H76" s="137"/>
      <c r="I76" s="141"/>
    </row>
  </sheetData>
  <sheetProtection algorithmName="SHA-512" hashValue="muWEKfB9NEcSxofDH2v2sBCGuFz6HI8MUqhzX3bZuRJygLAcveJhHngfx6eYyfvavZfymWbV/5NnltmwAMhj8Q==" saltValue="gG3oH1i6JfiL2nwviZf9JA==" spinCount="100000" sheet="1" objects="1" scenarios="1"/>
  <mergeCells count="4">
    <mergeCell ref="A5:B5"/>
    <mergeCell ref="A6:B6"/>
    <mergeCell ref="A7:B7"/>
    <mergeCell ref="C7:G8"/>
  </mergeCells>
  <dataValidations disablePrompts="1" count="2">
    <dataValidation type="list" allowBlank="1" showInputMessage="1" showErrorMessage="1" sqref="F43:F74">
      <formula1>"Yes,No"</formula1>
    </dataValidation>
    <dataValidation type="list" allowBlank="1" showInputMessage="1" showErrorMessage="1" sqref="C6">
      <formula1>"Risk Mitigation,Capacity Improvement,Renewal and Replacement,Treatment Upgrade, Study"</formula1>
    </dataValidation>
  </dataValidations>
  <pageMargins left="0.7" right="0.7" top="0.75" bottom="0.75" header="0.3" footer="0.3"/>
  <pageSetup scale="65" orientation="landscape" verticalDpi="1200" r:id="rId1"/>
  <headerFooter>
    <oddHeader>&amp;L&amp;"Arial,Bold"WILLAMETTE RIVER WATER TREATMENT PLANT - 2017 MASTER PLAN UPDATE
CAPITAL IMPROVEMENT PLAN WORKBOOK
PROJECT NO. 2</oddHeader>
    <oddFooter>&amp;L&amp;"Arial,Regular"&amp;8WRWTP - 2017 MPU CIP Workbook&amp;C&amp;"Arial,Regular"&amp;8&amp;A Sheet&amp;R&amp;"Arial,Regular"&amp;8Page &amp;P of &amp;N</oddFooter>
  </headerFooter>
  <rowBreaks count="1" manualBreakCount="1">
    <brk id="40" max="8"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I76"/>
  <sheetViews>
    <sheetView zoomScaleNormal="100" workbookViewId="0">
      <selection activeCell="H20" sqref="H20"/>
    </sheetView>
  </sheetViews>
  <sheetFormatPr defaultRowHeight="14.4" x14ac:dyDescent="0.3"/>
  <cols>
    <col min="1" max="1" width="5.33203125" customWidth="1"/>
    <col min="2" max="2" width="14.6640625" customWidth="1"/>
    <col min="3" max="3" width="15.109375" customWidth="1"/>
    <col min="4" max="4" width="52.6640625" customWidth="1"/>
    <col min="5" max="5" width="14" customWidth="1"/>
    <col min="6" max="6" width="9.6640625" customWidth="1"/>
    <col min="7" max="7" width="13.5546875" customWidth="1"/>
    <col min="8" max="8" width="13.44140625" customWidth="1"/>
    <col min="9" max="9" width="13.88671875" customWidth="1"/>
  </cols>
  <sheetData>
    <row r="1" spans="1:7" x14ac:dyDescent="0.3">
      <c r="A1" s="95" t="s">
        <v>174</v>
      </c>
      <c r="B1" s="96"/>
      <c r="C1" s="94"/>
      <c r="D1" s="94"/>
    </row>
    <row r="2" spans="1:7" x14ac:dyDescent="0.3">
      <c r="A2" s="95" t="s">
        <v>167</v>
      </c>
      <c r="B2" s="96"/>
      <c r="C2" s="94"/>
      <c r="D2" s="94"/>
    </row>
    <row r="3" spans="1:7" x14ac:dyDescent="0.3">
      <c r="A3" s="97" t="s">
        <v>228</v>
      </c>
      <c r="B3" s="98"/>
      <c r="C3" s="175"/>
      <c r="D3" s="94"/>
    </row>
    <row r="4" spans="1:7" x14ac:dyDescent="0.3">
      <c r="A4" s="94"/>
      <c r="B4" s="94"/>
      <c r="C4" s="94"/>
      <c r="D4" s="94"/>
    </row>
    <row r="5" spans="1:7" ht="13.95" customHeight="1" x14ac:dyDescent="0.3">
      <c r="A5" s="425" t="s">
        <v>221</v>
      </c>
      <c r="B5" s="425"/>
      <c r="C5" s="204" t="s">
        <v>138</v>
      </c>
      <c r="D5" s="94"/>
    </row>
    <row r="6" spans="1:7" x14ac:dyDescent="0.3">
      <c r="A6" s="426" t="s">
        <v>222</v>
      </c>
      <c r="B6" s="426"/>
      <c r="C6" s="92" t="s">
        <v>182</v>
      </c>
      <c r="D6" s="94"/>
    </row>
    <row r="7" spans="1:7" ht="14.4" customHeight="1" x14ac:dyDescent="0.3">
      <c r="A7" s="427" t="s">
        <v>28</v>
      </c>
      <c r="B7" s="427"/>
      <c r="C7" s="428" t="s">
        <v>224</v>
      </c>
      <c r="D7" s="428"/>
      <c r="E7" s="428"/>
      <c r="F7" s="428"/>
      <c r="G7" s="428"/>
    </row>
    <row r="8" spans="1:7" x14ac:dyDescent="0.3">
      <c r="A8" s="99"/>
      <c r="B8" s="99"/>
      <c r="C8" s="428"/>
      <c r="D8" s="428"/>
      <c r="E8" s="428"/>
      <c r="F8" s="428"/>
      <c r="G8" s="428"/>
    </row>
    <row r="9" spans="1:7" x14ac:dyDescent="0.3">
      <c r="A9" s="100"/>
      <c r="B9" s="91"/>
      <c r="C9" s="428"/>
      <c r="D9" s="428"/>
      <c r="E9" s="428"/>
      <c r="F9" s="428"/>
      <c r="G9" s="428"/>
    </row>
    <row r="10" spans="1:7" x14ac:dyDescent="0.3">
      <c r="A10" s="91"/>
      <c r="B10" s="91"/>
      <c r="C10" s="205"/>
      <c r="D10" s="205"/>
      <c r="E10" s="205"/>
      <c r="F10" s="205"/>
      <c r="G10" s="205"/>
    </row>
    <row r="11" spans="1:7" x14ac:dyDescent="0.3">
      <c r="A11" s="91"/>
      <c r="B11" s="91"/>
      <c r="C11" s="206"/>
      <c r="D11" s="206"/>
    </row>
    <row r="12" spans="1:7" x14ac:dyDescent="0.3">
      <c r="A12" s="100"/>
      <c r="B12" s="91"/>
      <c r="C12" s="271"/>
      <c r="D12" s="271"/>
    </row>
    <row r="13" spans="1:7" x14ac:dyDescent="0.3">
      <c r="A13" s="100"/>
      <c r="B13" s="91"/>
      <c r="C13" s="271"/>
      <c r="D13" s="271"/>
    </row>
    <row r="14" spans="1:7" x14ac:dyDescent="0.3">
      <c r="A14" s="100"/>
      <c r="B14" s="91"/>
      <c r="C14" s="271"/>
      <c r="D14" s="271"/>
    </row>
    <row r="15" spans="1:7" x14ac:dyDescent="0.3">
      <c r="A15" s="100"/>
      <c r="B15" s="91"/>
      <c r="C15" s="271"/>
      <c r="D15" s="271"/>
    </row>
    <row r="16" spans="1:7" x14ac:dyDescent="0.3">
      <c r="A16" s="100"/>
      <c r="B16" s="91"/>
      <c r="C16" s="271"/>
      <c r="D16" s="271"/>
    </row>
    <row r="17" spans="1:4" x14ac:dyDescent="0.3">
      <c r="A17" s="100"/>
      <c r="B17" s="91"/>
      <c r="C17" s="271"/>
      <c r="D17" s="271"/>
    </row>
    <row r="18" spans="1:4" x14ac:dyDescent="0.3">
      <c r="A18" s="100"/>
      <c r="B18" s="91"/>
      <c r="C18" s="271"/>
      <c r="D18" s="271"/>
    </row>
    <row r="19" spans="1:4" x14ac:dyDescent="0.3">
      <c r="A19" s="100"/>
      <c r="B19" s="91"/>
      <c r="C19" s="271"/>
      <c r="D19" s="271"/>
    </row>
    <row r="20" spans="1:4" x14ac:dyDescent="0.3">
      <c r="A20" s="100"/>
      <c r="B20" s="91"/>
      <c r="C20" s="271"/>
      <c r="D20" s="271"/>
    </row>
    <row r="21" spans="1:4" x14ac:dyDescent="0.3">
      <c r="A21" s="100"/>
      <c r="B21" s="91"/>
      <c r="C21" s="271"/>
      <c r="D21" s="271"/>
    </row>
    <row r="22" spans="1:4" x14ac:dyDescent="0.3">
      <c r="A22" s="100"/>
      <c r="B22" s="91"/>
      <c r="C22" s="271"/>
      <c r="D22" s="271"/>
    </row>
    <row r="23" spans="1:4" x14ac:dyDescent="0.3">
      <c r="A23" s="100"/>
      <c r="B23" s="91"/>
      <c r="C23" s="271"/>
      <c r="D23" s="271"/>
    </row>
    <row r="24" spans="1:4" x14ac:dyDescent="0.3">
      <c r="A24" s="100"/>
      <c r="B24" s="91"/>
      <c r="C24" s="271"/>
      <c r="D24" s="271"/>
    </row>
    <row r="25" spans="1:4" x14ac:dyDescent="0.3">
      <c r="A25" s="100"/>
      <c r="B25" s="91"/>
      <c r="C25" s="271"/>
      <c r="D25" s="271"/>
    </row>
    <row r="26" spans="1:4" x14ac:dyDescent="0.3">
      <c r="A26" s="100"/>
      <c r="B26" s="91"/>
      <c r="C26" s="271"/>
      <c r="D26" s="271"/>
    </row>
    <row r="27" spans="1:4" x14ac:dyDescent="0.3">
      <c r="A27" s="100"/>
      <c r="B27" s="91"/>
      <c r="C27" s="271"/>
      <c r="D27" s="271"/>
    </row>
    <row r="28" spans="1:4" x14ac:dyDescent="0.3">
      <c r="A28" s="100"/>
      <c r="B28" s="91"/>
      <c r="C28" s="271"/>
      <c r="D28" s="271"/>
    </row>
    <row r="29" spans="1:4" x14ac:dyDescent="0.3">
      <c r="A29" s="100"/>
      <c r="B29" s="91"/>
      <c r="C29" s="271"/>
      <c r="D29" s="271"/>
    </row>
    <row r="30" spans="1:4" x14ac:dyDescent="0.3">
      <c r="A30" s="100"/>
      <c r="B30" s="91"/>
      <c r="C30" s="271"/>
      <c r="D30" s="271"/>
    </row>
    <row r="31" spans="1:4" x14ac:dyDescent="0.3">
      <c r="A31" s="100"/>
      <c r="B31" s="91"/>
      <c r="C31" s="271"/>
      <c r="D31" s="271"/>
    </row>
    <row r="32" spans="1:4" x14ac:dyDescent="0.3">
      <c r="A32" s="100"/>
      <c r="B32" s="91"/>
      <c r="C32" s="271"/>
      <c r="D32" s="271"/>
    </row>
    <row r="33" spans="1:9" x14ac:dyDescent="0.3">
      <c r="A33" s="100"/>
      <c r="B33" s="91"/>
      <c r="C33" s="271"/>
      <c r="D33" s="271"/>
    </row>
    <row r="34" spans="1:9" x14ac:dyDescent="0.3">
      <c r="A34" s="100"/>
      <c r="B34" s="91"/>
      <c r="C34" s="271"/>
      <c r="D34" s="271"/>
    </row>
    <row r="35" spans="1:9" x14ac:dyDescent="0.3">
      <c r="A35" s="100"/>
      <c r="B35" s="91"/>
      <c r="C35" s="271"/>
      <c r="D35" s="271"/>
    </row>
    <row r="36" spans="1:9" x14ac:dyDescent="0.3">
      <c r="A36" s="100"/>
      <c r="B36" s="91"/>
      <c r="C36" s="271"/>
      <c r="D36" s="271"/>
    </row>
    <row r="37" spans="1:9" x14ac:dyDescent="0.3">
      <c r="A37" s="100"/>
      <c r="B37" s="91"/>
      <c r="C37" s="271"/>
      <c r="D37" s="271"/>
    </row>
    <row r="38" spans="1:9" x14ac:dyDescent="0.3">
      <c r="A38" s="100"/>
      <c r="B38" s="91"/>
      <c r="C38" s="271"/>
      <c r="D38" s="271"/>
    </row>
    <row r="39" spans="1:9" x14ac:dyDescent="0.3">
      <c r="A39" s="100"/>
      <c r="B39" s="91"/>
      <c r="C39" s="271"/>
      <c r="D39" s="271"/>
    </row>
    <row r="40" spans="1:9" x14ac:dyDescent="0.3">
      <c r="A40" s="91"/>
      <c r="B40" s="100"/>
      <c r="C40" s="271"/>
      <c r="D40" s="271"/>
    </row>
    <row r="41" spans="1:9" x14ac:dyDescent="0.3">
      <c r="A41" s="100"/>
      <c r="B41" s="100"/>
      <c r="C41" s="271"/>
      <c r="D41" s="271"/>
    </row>
    <row r="42" spans="1:9" x14ac:dyDescent="0.3">
      <c r="A42" s="100" t="s">
        <v>265</v>
      </c>
      <c r="D42" s="16"/>
    </row>
    <row r="43" spans="1:9" ht="55.8" x14ac:dyDescent="0.3">
      <c r="A43" s="122" t="s">
        <v>13</v>
      </c>
      <c r="B43" s="122" t="s">
        <v>154</v>
      </c>
      <c r="C43" s="122" t="s">
        <v>34</v>
      </c>
      <c r="D43" s="345" t="s">
        <v>155</v>
      </c>
      <c r="E43" s="122" t="s">
        <v>161</v>
      </c>
      <c r="F43" s="122" t="s">
        <v>156</v>
      </c>
      <c r="G43" s="122" t="s">
        <v>162</v>
      </c>
      <c r="H43" s="122" t="str">
        <f>"Future Value in Project Year - "&amp;'CIP Summary'!$C$10</f>
        <v>Future Value in Project Year - Escalation</v>
      </c>
      <c r="I43" s="174" t="s">
        <v>179</v>
      </c>
    </row>
    <row r="44" spans="1:9" ht="55.8" x14ac:dyDescent="0.3">
      <c r="A44" s="127">
        <v>86</v>
      </c>
      <c r="B44" s="129" t="str">
        <f t="shared" ref="B44:B52" si="0">VLOOKUP($A44,CIP_Full,2,FALSE)</f>
        <v>Seismic Retrofits</v>
      </c>
      <c r="C44" s="129" t="str">
        <f t="shared" ref="C44:C52" si="1">VLOOKUP($A44,CIP_Full,3,FALSE)</f>
        <v>Finished Water Pump Station</v>
      </c>
      <c r="D44" s="129" t="str">
        <f t="shared" ref="D44:D52" si="2">VLOOKUP($A44,CIP_Full,4,FALSE)</f>
        <v>The roof joist wall anchorage along the east and west walls of the High Service PS have a DCR of 1.55.  Add new wall anchorage along the east and west walls between the existing roof joists. (S3)</v>
      </c>
      <c r="E44" s="169">
        <f t="shared" ref="E44:E52" si="3">VLOOKUP($A44,CIP_Full,5,FALSE)</f>
        <v>144364</v>
      </c>
      <c r="F44" s="134" t="str">
        <f t="shared" ref="F44:F52" si="4">VLOOKUP($A44,CIP_Full,6,FALSE)</f>
        <v>Yes</v>
      </c>
      <c r="G44" s="130">
        <f t="shared" ref="G44:G52" si="5">VLOOKUP($A44,CIP_Full,10,FALSE)</f>
        <v>180455</v>
      </c>
      <c r="H44" s="130">
        <f t="shared" ref="H44:H52" si="6">VLOOKUP($A44,CIP_Full,13,FALSE)</f>
        <v>209196.80307780649</v>
      </c>
      <c r="I44" s="300"/>
    </row>
    <row r="45" spans="1:9" ht="42" x14ac:dyDescent="0.3">
      <c r="A45" s="56">
        <v>87</v>
      </c>
      <c r="B45" s="129" t="str">
        <f t="shared" si="0"/>
        <v>Seismic Retrofits</v>
      </c>
      <c r="C45" s="129" t="str">
        <f t="shared" si="1"/>
        <v>Finished Water Pump Station</v>
      </c>
      <c r="D45" s="129" t="str">
        <f t="shared" si="2"/>
        <v>The roof diaphragm shear at the High Service PS has a DCR of 1.82 to 2.25. Replace existing deficient deck sections with 16 GA corrugated steel decking. (S4)</v>
      </c>
      <c r="E45" s="169">
        <f t="shared" si="3"/>
        <v>125618</v>
      </c>
      <c r="F45" s="134" t="str">
        <f t="shared" si="4"/>
        <v>Yes</v>
      </c>
      <c r="G45" s="130">
        <f t="shared" si="5"/>
        <v>157022.5</v>
      </c>
      <c r="H45" s="130">
        <f t="shared" si="6"/>
        <v>182032.11333177172</v>
      </c>
      <c r="I45" s="301"/>
    </row>
    <row r="46" spans="1:9" ht="42" x14ac:dyDescent="0.3">
      <c r="A46" s="56">
        <v>88</v>
      </c>
      <c r="B46" s="129" t="str">
        <f t="shared" si="0"/>
        <v>Seismic Retrofits</v>
      </c>
      <c r="C46" s="129" t="str">
        <f t="shared" si="1"/>
        <v>Finished Water Pump Station</v>
      </c>
      <c r="D46" s="129" t="str">
        <f t="shared" si="2"/>
        <v>Tension capacity of the diaphragm chords at the High Service PS has a DCR of 1.20 at connections at the east windows. Strengthen chord splices as required. (S5)</v>
      </c>
      <c r="E46" s="169">
        <f t="shared" si="3"/>
        <v>12159</v>
      </c>
      <c r="F46" s="134" t="str">
        <f t="shared" si="4"/>
        <v>Yes</v>
      </c>
      <c r="G46" s="130">
        <f t="shared" si="5"/>
        <v>15198.75</v>
      </c>
      <c r="H46" s="130">
        <f t="shared" si="6"/>
        <v>17619.516836767121</v>
      </c>
      <c r="I46" s="301"/>
    </row>
    <row r="47" spans="1:9" ht="55.8" x14ac:dyDescent="0.3">
      <c r="A47" s="56">
        <v>89</v>
      </c>
      <c r="B47" s="129" t="str">
        <f t="shared" si="0"/>
        <v>Seismic Retrofits</v>
      </c>
      <c r="C47" s="129" t="str">
        <f t="shared" si="1"/>
        <v>Finished Water Pump Station</v>
      </c>
      <c r="D47" s="129" t="str">
        <f t="shared" si="2"/>
        <v>Roof deck shear transfer to interior wall ledger bolts at the High Service PS have DCR’s of 3.20 to 3.90.  Add new top plate over exterior shear wall and install epoxied anchors.  (S6)</v>
      </c>
      <c r="E47" s="169">
        <f t="shared" si="3"/>
        <v>87647</v>
      </c>
      <c r="F47" s="134" t="str">
        <f t="shared" si="4"/>
        <v>Yes</v>
      </c>
      <c r="G47" s="130">
        <f t="shared" si="5"/>
        <v>109558.75</v>
      </c>
      <c r="H47" s="130">
        <f t="shared" si="6"/>
        <v>127008.61848771511</v>
      </c>
      <c r="I47" s="301"/>
    </row>
    <row r="48" spans="1:9" ht="69.599999999999994" x14ac:dyDescent="0.3">
      <c r="A48" s="56">
        <v>124</v>
      </c>
      <c r="B48" s="129" t="str">
        <f t="shared" si="0"/>
        <v>Seismic Retrofits</v>
      </c>
      <c r="C48" s="129" t="str">
        <f t="shared" si="1"/>
        <v>Solids - Dewatering</v>
      </c>
      <c r="D48" s="129" t="str">
        <f t="shared" si="2"/>
        <v>The Solids Handling Building has no lateral load resisting system in the transverse direction at the lower level.  Provide structural bracing in the east-west direction by installation of shear wall extensions or exterior steel bracing. (S7)</v>
      </c>
      <c r="E48" s="169">
        <f t="shared" si="3"/>
        <v>47722</v>
      </c>
      <c r="F48" s="134" t="str">
        <f t="shared" si="4"/>
        <v>Yes</v>
      </c>
      <c r="G48" s="130">
        <f t="shared" si="5"/>
        <v>59652.5</v>
      </c>
      <c r="H48" s="130">
        <f t="shared" si="6"/>
        <v>69153.596717180742</v>
      </c>
      <c r="I48" s="301"/>
    </row>
    <row r="49" spans="1:9" ht="55.8" x14ac:dyDescent="0.3">
      <c r="A49" s="56">
        <v>125</v>
      </c>
      <c r="B49" s="129" t="str">
        <f t="shared" si="0"/>
        <v>Seismic Retrofits</v>
      </c>
      <c r="C49" s="129" t="str">
        <f t="shared" si="1"/>
        <v>Solids - Dewatering</v>
      </c>
      <c r="D49" s="129" t="str">
        <f t="shared" si="2"/>
        <v>The roof joist wall anchorage along the east and west walls of the Solids Handling Building have a DCR of 1.17.  Add new wall anchorage along the east and west walls between the existing roof joists. (S8)</v>
      </c>
      <c r="E49" s="169">
        <f t="shared" si="3"/>
        <v>62761</v>
      </c>
      <c r="F49" s="134" t="str">
        <f t="shared" si="4"/>
        <v>Yes</v>
      </c>
      <c r="G49" s="130">
        <f t="shared" si="5"/>
        <v>78451.25</v>
      </c>
      <c r="H49" s="130">
        <f t="shared" si="6"/>
        <v>90946.500221427865</v>
      </c>
      <c r="I49" s="301"/>
    </row>
    <row r="50" spans="1:9" ht="55.8" x14ac:dyDescent="0.3">
      <c r="A50" s="56">
        <v>126</v>
      </c>
      <c r="B50" s="129" t="str">
        <f t="shared" si="0"/>
        <v>Seismic Retrofits</v>
      </c>
      <c r="C50" s="129" t="str">
        <f t="shared" si="1"/>
        <v>Solids - Dewatering</v>
      </c>
      <c r="D50" s="129" t="str">
        <f t="shared" si="2"/>
        <v>The foundation elements at the Solids Handling Building do not have adequate ties. The floor slab is not doweled into the walls or the footings. Tie the existing slab to the walls with stainless steel angles and epoxy anchors. (S9)</v>
      </c>
      <c r="E50" s="169">
        <f t="shared" si="3"/>
        <v>24672</v>
      </c>
      <c r="F50" s="134" t="str">
        <f t="shared" si="4"/>
        <v>Yes</v>
      </c>
      <c r="G50" s="130">
        <f t="shared" si="5"/>
        <v>30840</v>
      </c>
      <c r="H50" s="130">
        <f t="shared" si="6"/>
        <v>35752.012451411996</v>
      </c>
      <c r="I50" s="301"/>
    </row>
    <row r="51" spans="1:9" ht="69.599999999999994" customHeight="1" x14ac:dyDescent="0.3">
      <c r="A51" s="56">
        <v>138</v>
      </c>
      <c r="B51" s="129" t="str">
        <f t="shared" si="0"/>
        <v>Seismic Retrofits</v>
      </c>
      <c r="C51" s="129" t="str">
        <f t="shared" si="1"/>
        <v>WWEQ Basin</v>
      </c>
      <c r="D51" s="129" t="str">
        <f t="shared" si="2"/>
        <v>Waste Washwater EQ Basin North &amp; South Walls: Horizontal reinforcing steel at east corners (#8 @ 12” OC) have a DCR of 1.53 for soil seismic loads.  Recommend adding additional reinforced shotcrete to wall or adding three concete/steel braces across the basin.  (S1)</v>
      </c>
      <c r="E51" s="169">
        <f t="shared" si="3"/>
        <v>219386</v>
      </c>
      <c r="F51" s="134" t="str">
        <f t="shared" si="4"/>
        <v>Yes</v>
      </c>
      <c r="G51" s="130">
        <f t="shared" si="5"/>
        <v>274232.5</v>
      </c>
      <c r="H51" s="130">
        <f t="shared" si="6"/>
        <v>317910.62758047471</v>
      </c>
      <c r="I51" s="301"/>
    </row>
    <row r="52" spans="1:9" ht="69.599999999999994" x14ac:dyDescent="0.3">
      <c r="A52" s="56">
        <v>139</v>
      </c>
      <c r="B52" s="129" t="str">
        <f t="shared" si="0"/>
        <v>Seismic Retrofits</v>
      </c>
      <c r="C52" s="129" t="str">
        <f t="shared" si="1"/>
        <v>WWEQ Basin</v>
      </c>
      <c r="D52" s="129" t="str">
        <f t="shared" si="2"/>
        <v>Waste Washwater EQ Basin North &amp; South Walls: Wall shear at the concrete beam has a DCR of 1.67 for soil seismic loads.  Recommend addition of reinforced shotcrete to wall or addition of concrete/steel braces across the basin. (S2)</v>
      </c>
      <c r="E52" s="169">
        <f t="shared" si="3"/>
        <v>197164</v>
      </c>
      <c r="F52" s="134" t="str">
        <f t="shared" si="4"/>
        <v>Yes</v>
      </c>
      <c r="G52" s="130">
        <f t="shared" si="5"/>
        <v>246455</v>
      </c>
      <c r="H52" s="130">
        <f t="shared" si="6"/>
        <v>285708.89198160649</v>
      </c>
      <c r="I52" s="301"/>
    </row>
    <row r="53" spans="1:9" x14ac:dyDescent="0.3">
      <c r="A53" s="208" t="s">
        <v>3</v>
      </c>
      <c r="B53" s="209"/>
      <c r="C53" s="2"/>
      <c r="D53" s="209"/>
      <c r="E53" s="209"/>
      <c r="F53" s="209"/>
      <c r="G53" s="209"/>
      <c r="H53" s="209"/>
      <c r="I53" s="210"/>
    </row>
    <row r="54" spans="1:9" x14ac:dyDescent="0.3">
      <c r="A54" s="14" t="s">
        <v>2</v>
      </c>
      <c r="B54" s="138" t="str">
        <f>"In "&amp;TEXT(estimate_date,"mm/yy")&amp;" dollars. Assuming "&amp;Design*100&amp;"% contingency for Design and "&amp;Admin*100&amp;"% for legal and administration costs."</f>
        <v>In 09/17 dollars. Assuming 15% contingency for Design and 10% for legal and administration costs.</v>
      </c>
      <c r="C54" s="137"/>
      <c r="D54" s="137"/>
      <c r="E54" s="137"/>
      <c r="F54" s="137"/>
      <c r="G54" s="137"/>
      <c r="H54" s="137"/>
      <c r="I54" s="141"/>
    </row>
    <row r="55" spans="1:9" x14ac:dyDescent="0.3">
      <c r="A55" s="101"/>
      <c r="B55" s="73"/>
      <c r="C55" s="73"/>
      <c r="D55" s="67"/>
      <c r="E55" s="102"/>
      <c r="F55" s="68"/>
      <c r="G55" s="101"/>
      <c r="H55" s="103"/>
      <c r="I55" s="91"/>
    </row>
    <row r="56" spans="1:9" x14ac:dyDescent="0.3">
      <c r="A56" s="101"/>
      <c r="B56" s="67"/>
      <c r="C56" s="73"/>
      <c r="D56" s="67"/>
      <c r="E56" s="102"/>
      <c r="F56" s="68"/>
      <c r="G56" s="71"/>
      <c r="H56" s="103"/>
      <c r="I56" s="91"/>
    </row>
    <row r="57" spans="1:9" x14ac:dyDescent="0.3">
      <c r="A57" s="101"/>
      <c r="B57" s="67"/>
      <c r="C57" s="73"/>
      <c r="D57" s="67"/>
      <c r="E57" s="102"/>
      <c r="F57" s="68"/>
      <c r="G57" s="71"/>
      <c r="H57" s="103"/>
      <c r="I57" s="91"/>
    </row>
    <row r="58" spans="1:9" x14ac:dyDescent="0.3">
      <c r="A58" s="101"/>
      <c r="B58" s="67"/>
      <c r="C58" s="73"/>
      <c r="D58" s="67"/>
      <c r="E58" s="102"/>
      <c r="F58" s="68"/>
      <c r="G58" s="71"/>
      <c r="H58" s="103"/>
      <c r="I58" s="91"/>
    </row>
    <row r="59" spans="1:9" x14ac:dyDescent="0.3">
      <c r="A59" s="101"/>
      <c r="B59" s="67"/>
      <c r="C59" s="73"/>
      <c r="D59" s="67"/>
      <c r="E59" s="102"/>
      <c r="F59" s="68"/>
      <c r="G59" s="71"/>
      <c r="H59" s="103"/>
      <c r="I59" s="91"/>
    </row>
    <row r="60" spans="1:9" x14ac:dyDescent="0.3">
      <c r="A60" s="101"/>
      <c r="B60" s="73"/>
      <c r="C60" s="73"/>
      <c r="D60" s="105"/>
      <c r="E60" s="102"/>
      <c r="F60" s="68"/>
      <c r="G60" s="101"/>
      <c r="H60" s="103"/>
      <c r="I60" s="91"/>
    </row>
    <row r="61" spans="1:9" x14ac:dyDescent="0.3">
      <c r="A61" s="101"/>
      <c r="B61" s="73"/>
      <c r="C61" s="73"/>
      <c r="D61" s="105"/>
      <c r="E61" s="102"/>
      <c r="F61" s="68"/>
      <c r="G61" s="101"/>
      <c r="H61" s="103"/>
      <c r="I61" s="91"/>
    </row>
    <row r="62" spans="1:9" x14ac:dyDescent="0.3">
      <c r="A62" s="101"/>
      <c r="B62" s="67"/>
      <c r="C62" s="67"/>
      <c r="D62" s="67"/>
      <c r="E62" s="102"/>
      <c r="F62" s="68"/>
      <c r="G62" s="71"/>
      <c r="H62" s="103"/>
      <c r="I62" s="91"/>
    </row>
    <row r="63" spans="1:9" x14ac:dyDescent="0.3">
      <c r="A63" s="101"/>
      <c r="B63" s="67"/>
      <c r="C63" s="67"/>
      <c r="D63" s="67"/>
      <c r="E63" s="102"/>
      <c r="F63" s="68"/>
      <c r="G63" s="71"/>
      <c r="H63" s="103"/>
      <c r="I63" s="91"/>
    </row>
    <row r="64" spans="1:9" x14ac:dyDescent="0.3">
      <c r="A64" s="101"/>
      <c r="B64" s="73"/>
      <c r="C64" s="73"/>
      <c r="D64" s="105"/>
      <c r="E64" s="102"/>
      <c r="F64" s="68"/>
      <c r="G64" s="101"/>
      <c r="H64" s="103"/>
      <c r="I64" s="91"/>
    </row>
    <row r="65" spans="1:9" x14ac:dyDescent="0.3">
      <c r="A65" s="101"/>
      <c r="B65" s="73"/>
      <c r="C65" s="67"/>
      <c r="D65" s="105"/>
      <c r="E65" s="74"/>
      <c r="F65" s="68"/>
      <c r="G65" s="101"/>
      <c r="H65" s="103"/>
      <c r="I65" s="91"/>
    </row>
    <row r="66" spans="1:9" x14ac:dyDescent="0.3">
      <c r="A66" s="101"/>
      <c r="B66" s="67"/>
      <c r="C66" s="67"/>
      <c r="D66" s="67"/>
      <c r="E66" s="102"/>
      <c r="F66" s="68"/>
      <c r="G66" s="71"/>
      <c r="H66" s="103"/>
      <c r="I66" s="91"/>
    </row>
    <row r="67" spans="1:9" x14ac:dyDescent="0.3">
      <c r="A67" s="101"/>
      <c r="B67" s="67"/>
      <c r="C67" s="67"/>
      <c r="D67" s="67"/>
      <c r="E67" s="102"/>
      <c r="F67" s="68"/>
      <c r="G67" s="71"/>
      <c r="H67" s="103"/>
      <c r="I67" s="91"/>
    </row>
    <row r="68" spans="1:9" x14ac:dyDescent="0.3">
      <c r="A68" s="101"/>
      <c r="B68" s="67"/>
      <c r="C68" s="67"/>
      <c r="D68" s="67"/>
      <c r="E68" s="102"/>
      <c r="F68" s="68"/>
      <c r="G68" s="71"/>
      <c r="H68" s="103"/>
      <c r="I68" s="91"/>
    </row>
    <row r="69" spans="1:9" x14ac:dyDescent="0.3">
      <c r="A69" s="101"/>
      <c r="B69" s="67"/>
      <c r="C69" s="67"/>
      <c r="D69" s="67"/>
      <c r="E69" s="102"/>
      <c r="F69" s="68"/>
      <c r="G69" s="71"/>
      <c r="H69" s="103"/>
      <c r="I69" s="91"/>
    </row>
    <row r="70" spans="1:9" x14ac:dyDescent="0.3">
      <c r="A70" s="101"/>
      <c r="B70" s="73"/>
      <c r="C70" s="73"/>
      <c r="D70" s="73"/>
      <c r="E70" s="102"/>
      <c r="F70" s="68"/>
      <c r="G70" s="101"/>
      <c r="H70" s="103"/>
      <c r="I70" s="91"/>
    </row>
    <row r="71" spans="1:9" x14ac:dyDescent="0.3">
      <c r="A71" s="101"/>
      <c r="B71" s="67"/>
      <c r="C71" s="67"/>
      <c r="D71" s="67"/>
      <c r="E71" s="102"/>
      <c r="F71" s="68"/>
      <c r="G71" s="71"/>
      <c r="H71" s="103"/>
      <c r="I71" s="91"/>
    </row>
    <row r="72" spans="1:9" x14ac:dyDescent="0.3">
      <c r="A72" s="101"/>
      <c r="B72" s="73"/>
      <c r="C72" s="73"/>
      <c r="D72" s="105"/>
      <c r="E72" s="102"/>
      <c r="F72" s="68"/>
      <c r="G72" s="101"/>
      <c r="H72" s="103"/>
      <c r="I72" s="91"/>
    </row>
    <row r="73" spans="1:9" x14ac:dyDescent="0.3">
      <c r="A73" s="101"/>
      <c r="B73" s="67"/>
      <c r="C73" s="67"/>
      <c r="D73" s="67"/>
      <c r="E73" s="102"/>
      <c r="F73" s="68"/>
      <c r="G73" s="71"/>
      <c r="H73" s="103"/>
      <c r="I73" s="91"/>
    </row>
    <row r="74" spans="1:9" x14ac:dyDescent="0.3">
      <c r="A74" s="101"/>
      <c r="B74" s="73"/>
      <c r="C74" s="73"/>
      <c r="D74" s="73"/>
      <c r="E74" s="102"/>
      <c r="F74" s="68"/>
      <c r="G74" s="101"/>
      <c r="H74" s="103"/>
      <c r="I74" s="91"/>
    </row>
    <row r="75" spans="1:9" x14ac:dyDescent="0.3">
      <c r="A75" s="101"/>
      <c r="B75" s="73"/>
      <c r="C75" s="73"/>
      <c r="D75" s="105"/>
      <c r="E75" s="102"/>
      <c r="F75" s="68"/>
      <c r="G75" s="101"/>
      <c r="H75" s="103"/>
      <c r="I75" s="91"/>
    </row>
    <row r="76" spans="1:9" x14ac:dyDescent="0.3">
      <c r="A76" s="91"/>
      <c r="B76" s="91"/>
      <c r="C76" s="91"/>
      <c r="D76" s="91"/>
      <c r="E76" s="91"/>
      <c r="F76" s="91"/>
      <c r="G76" s="91"/>
      <c r="H76" s="91"/>
      <c r="I76" s="91"/>
    </row>
  </sheetData>
  <sheetProtection algorithmName="SHA-512" hashValue="6gSJF/h+sMbkQ/NxgSLu2QMubduTRNmVDfJr+0k/qPBXD7cfwqfsXc6C4J6TaujH5T9yz3p1nWDcyrVIlYplRw==" saltValue="4pOV41rSBUv+5GBtpD5PvQ==" spinCount="100000" sheet="1" objects="1" scenarios="1"/>
  <mergeCells count="4">
    <mergeCell ref="A5:B5"/>
    <mergeCell ref="A6:B6"/>
    <mergeCell ref="A7:B7"/>
    <mergeCell ref="C7:G9"/>
  </mergeCells>
  <dataValidations count="2">
    <dataValidation type="list" allowBlank="1" showInputMessage="1" showErrorMessage="1" sqref="C6">
      <formula1>"Risk Mitigation,Capacity Improvement,Renewal and Replacement,Treatment Upgrade, Study"</formula1>
    </dataValidation>
    <dataValidation type="list" allowBlank="1" showInputMessage="1" showErrorMessage="1" sqref="F55:F75 F44:F52">
      <formula1>"Yes,No"</formula1>
    </dataValidation>
  </dataValidations>
  <pageMargins left="0.7" right="0.7" top="0.75" bottom="0.75" header="0.3" footer="0.3"/>
  <pageSetup scale="70" orientation="landscape" verticalDpi="1200" r:id="rId1"/>
  <headerFooter>
    <oddHeader>&amp;L&amp;"Arial,Bold"WILLAMETTE RIVER WATER TREATMENT PLANT - 2017 MASTER PLAN UPDATE
CAPITAL IMPROVEMENT PLAN WORKBOOK
PROJECT NO. 3</oddHeader>
    <oddFooter>&amp;L&amp;"Arial,Regular"&amp;8WRWTP - 2017 MPU CIP Workbook&amp;C&amp;"Arial,Regular"&amp;8&amp;A Sheet&amp;R&amp;"Arial,Regular"&amp;8Page &amp;P of &amp;N</oddFooter>
  </headerFooter>
  <rowBreaks count="1" manualBreakCount="1">
    <brk id="41" max="8"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N64"/>
  <sheetViews>
    <sheetView zoomScaleNormal="100" workbookViewId="0">
      <selection activeCell="J47" sqref="J47:J64"/>
    </sheetView>
  </sheetViews>
  <sheetFormatPr defaultRowHeight="14.4" x14ac:dyDescent="0.3"/>
  <cols>
    <col min="1" max="1" width="4.109375" customWidth="1"/>
    <col min="2" max="2" width="17.109375" customWidth="1"/>
    <col min="3" max="3" width="17.6640625" customWidth="1"/>
    <col min="4" max="4" width="71.44140625" customWidth="1"/>
    <col min="5" max="5" width="13.5546875" customWidth="1"/>
    <col min="6" max="6" width="9.33203125" customWidth="1"/>
    <col min="7" max="7" width="12.33203125" customWidth="1"/>
    <col min="8" max="8" width="15" customWidth="1"/>
    <col min="9" max="9" width="13.33203125" customWidth="1"/>
    <col min="13" max="13" width="16.77734375" bestFit="1" customWidth="1"/>
  </cols>
  <sheetData>
    <row r="1" spans="1:7" x14ac:dyDescent="0.3">
      <c r="A1" s="76" t="s">
        <v>174</v>
      </c>
      <c r="B1" s="77"/>
      <c r="C1" s="16"/>
      <c r="D1" s="16"/>
    </row>
    <row r="2" spans="1:7" x14ac:dyDescent="0.3">
      <c r="A2" s="76" t="s">
        <v>167</v>
      </c>
      <c r="B2" s="77"/>
      <c r="C2" s="16"/>
      <c r="D2" s="16"/>
    </row>
    <row r="3" spans="1:7" x14ac:dyDescent="0.3">
      <c r="A3" s="78" t="s">
        <v>229</v>
      </c>
      <c r="B3" s="79"/>
      <c r="C3" s="212"/>
      <c r="D3" s="16"/>
    </row>
    <row r="4" spans="1:7" x14ac:dyDescent="0.3">
      <c r="A4" s="16"/>
      <c r="B4" s="16"/>
      <c r="C4" s="16"/>
      <c r="D4" s="16"/>
    </row>
    <row r="5" spans="1:7" x14ac:dyDescent="0.3">
      <c r="A5" s="425" t="s">
        <v>221</v>
      </c>
      <c r="B5" s="425"/>
      <c r="C5" s="204" t="s">
        <v>219</v>
      </c>
      <c r="D5" s="16"/>
    </row>
    <row r="6" spans="1:7" ht="13.95" customHeight="1" x14ac:dyDescent="0.3">
      <c r="A6" s="426" t="s">
        <v>222</v>
      </c>
      <c r="B6" s="426"/>
      <c r="C6" s="92" t="s">
        <v>168</v>
      </c>
      <c r="D6" s="16"/>
    </row>
    <row r="7" spans="1:7" x14ac:dyDescent="0.3">
      <c r="A7" s="429" t="s">
        <v>28</v>
      </c>
      <c r="B7" s="429"/>
      <c r="C7" s="430" t="s">
        <v>226</v>
      </c>
      <c r="D7" s="430"/>
      <c r="E7" s="430"/>
      <c r="F7" s="430"/>
      <c r="G7" s="430"/>
    </row>
    <row r="8" spans="1:7" x14ac:dyDescent="0.3">
      <c r="A8" s="80"/>
      <c r="B8" s="80"/>
      <c r="C8" s="430"/>
      <c r="D8" s="430"/>
      <c r="E8" s="430"/>
      <c r="F8" s="430"/>
      <c r="G8" s="430"/>
    </row>
    <row r="9" spans="1:7" x14ac:dyDescent="0.3">
      <c r="A9" s="80"/>
      <c r="B9" s="80"/>
      <c r="C9" s="430"/>
      <c r="D9" s="430"/>
      <c r="E9" s="430"/>
      <c r="F9" s="430"/>
      <c r="G9" s="430"/>
    </row>
    <row r="10" spans="1:7" x14ac:dyDescent="0.3">
      <c r="A10" s="81"/>
      <c r="C10" s="430"/>
      <c r="D10" s="430"/>
      <c r="E10" s="430"/>
      <c r="F10" s="430"/>
      <c r="G10" s="430"/>
    </row>
    <row r="11" spans="1:7" x14ac:dyDescent="0.3">
      <c r="C11" s="430"/>
      <c r="D11" s="430"/>
      <c r="E11" s="430"/>
      <c r="F11" s="430"/>
      <c r="G11" s="430"/>
    </row>
    <row r="12" spans="1:7" ht="87" customHeight="1" x14ac:dyDescent="0.3">
      <c r="C12" s="430"/>
      <c r="D12" s="430"/>
      <c r="E12" s="430"/>
      <c r="F12" s="430"/>
      <c r="G12" s="430"/>
    </row>
    <row r="13" spans="1:7" x14ac:dyDescent="0.3">
      <c r="C13" s="207"/>
      <c r="D13" s="207"/>
      <c r="E13" s="207"/>
      <c r="F13" s="207"/>
      <c r="G13" s="207"/>
    </row>
    <row r="14" spans="1:7" x14ac:dyDescent="0.3">
      <c r="C14" s="269"/>
      <c r="D14" s="269"/>
      <c r="E14" s="269"/>
      <c r="F14" s="269"/>
      <c r="G14" s="269"/>
    </row>
    <row r="15" spans="1:7" x14ac:dyDescent="0.3">
      <c r="C15" s="269"/>
      <c r="D15" s="269"/>
      <c r="E15" s="269"/>
      <c r="F15" s="269"/>
      <c r="G15" s="269"/>
    </row>
    <row r="16" spans="1:7" x14ac:dyDescent="0.3">
      <c r="C16" s="269"/>
      <c r="D16" s="269"/>
      <c r="E16" s="269"/>
      <c r="F16" s="269"/>
      <c r="G16" s="269"/>
    </row>
    <row r="17" spans="3:7" x14ac:dyDescent="0.3">
      <c r="C17" s="269"/>
      <c r="D17" s="269"/>
      <c r="E17" s="269"/>
      <c r="F17" s="269"/>
      <c r="G17" s="269"/>
    </row>
    <row r="18" spans="3:7" x14ac:dyDescent="0.3">
      <c r="C18" s="269"/>
      <c r="D18" s="269"/>
      <c r="E18" s="269"/>
      <c r="F18" s="269"/>
      <c r="G18" s="269"/>
    </row>
    <row r="19" spans="3:7" x14ac:dyDescent="0.3">
      <c r="C19" s="269"/>
      <c r="D19" s="269"/>
      <c r="E19" s="269"/>
      <c r="F19" s="269"/>
      <c r="G19" s="269"/>
    </row>
    <row r="20" spans="3:7" x14ac:dyDescent="0.3">
      <c r="C20" s="269"/>
      <c r="D20" s="269"/>
      <c r="E20" s="269"/>
      <c r="F20" s="269"/>
      <c r="G20" s="269"/>
    </row>
    <row r="21" spans="3:7" x14ac:dyDescent="0.3">
      <c r="C21" s="269"/>
      <c r="D21" s="269"/>
      <c r="E21" s="269"/>
      <c r="F21" s="269"/>
      <c r="G21" s="269"/>
    </row>
    <row r="22" spans="3:7" x14ac:dyDescent="0.3">
      <c r="C22" s="269"/>
      <c r="D22" s="269"/>
      <c r="E22" s="269"/>
      <c r="F22" s="269"/>
      <c r="G22" s="269"/>
    </row>
    <row r="23" spans="3:7" x14ac:dyDescent="0.3">
      <c r="C23" s="269"/>
      <c r="D23" s="269"/>
      <c r="E23" s="269"/>
      <c r="F23" s="269"/>
      <c r="G23" s="269"/>
    </row>
    <row r="24" spans="3:7" x14ac:dyDescent="0.3">
      <c r="C24" s="269"/>
      <c r="D24" s="269"/>
      <c r="E24" s="269"/>
      <c r="F24" s="269"/>
      <c r="G24" s="269"/>
    </row>
    <row r="25" spans="3:7" x14ac:dyDescent="0.3">
      <c r="C25" s="269"/>
      <c r="D25" s="269"/>
      <c r="E25" s="269"/>
      <c r="F25" s="269"/>
      <c r="G25" s="269"/>
    </row>
    <row r="26" spans="3:7" x14ac:dyDescent="0.3">
      <c r="C26" s="269"/>
      <c r="D26" s="269"/>
      <c r="E26" s="269"/>
      <c r="F26" s="269"/>
      <c r="G26" s="269"/>
    </row>
    <row r="27" spans="3:7" x14ac:dyDescent="0.3">
      <c r="C27" s="269"/>
      <c r="D27" s="269"/>
      <c r="E27" s="269"/>
      <c r="F27" s="269"/>
      <c r="G27" s="269"/>
    </row>
    <row r="28" spans="3:7" x14ac:dyDescent="0.3">
      <c r="C28" s="269"/>
      <c r="D28" s="269"/>
      <c r="E28" s="269"/>
      <c r="F28" s="269"/>
      <c r="G28" s="269"/>
    </row>
    <row r="29" spans="3:7" x14ac:dyDescent="0.3">
      <c r="C29" s="269"/>
      <c r="D29" s="269"/>
      <c r="E29" s="269"/>
      <c r="F29" s="269"/>
      <c r="G29" s="269"/>
    </row>
    <row r="30" spans="3:7" x14ac:dyDescent="0.3">
      <c r="C30" s="269"/>
      <c r="D30" s="269"/>
      <c r="E30" s="269"/>
      <c r="F30" s="269"/>
      <c r="G30" s="269"/>
    </row>
    <row r="31" spans="3:7" x14ac:dyDescent="0.3">
      <c r="C31" s="269"/>
      <c r="D31" s="269"/>
      <c r="E31" s="269"/>
      <c r="F31" s="269"/>
      <c r="G31" s="269"/>
    </row>
    <row r="32" spans="3:7" x14ac:dyDescent="0.3">
      <c r="C32" s="269"/>
      <c r="D32" s="269"/>
      <c r="E32" s="269"/>
      <c r="F32" s="269"/>
      <c r="G32" s="269"/>
    </row>
    <row r="33" spans="1:14" x14ac:dyDescent="0.3">
      <c r="C33" s="269"/>
      <c r="D33" s="269"/>
      <c r="E33" s="269"/>
      <c r="F33" s="269"/>
      <c r="G33" s="269"/>
    </row>
    <row r="34" spans="1:14" x14ac:dyDescent="0.3">
      <c r="C34" s="269"/>
      <c r="D34" s="269"/>
      <c r="E34" s="269"/>
      <c r="F34" s="269"/>
      <c r="G34" s="269"/>
    </row>
    <row r="35" spans="1:14" x14ac:dyDescent="0.3">
      <c r="C35" s="269"/>
      <c r="D35" s="269"/>
      <c r="E35" s="269"/>
      <c r="F35" s="269"/>
      <c r="G35" s="269"/>
    </row>
    <row r="36" spans="1:14" x14ac:dyDescent="0.3">
      <c r="C36" s="269"/>
      <c r="D36" s="269"/>
      <c r="E36" s="269"/>
      <c r="F36" s="269"/>
      <c r="G36" s="269"/>
    </row>
    <row r="37" spans="1:14" x14ac:dyDescent="0.3">
      <c r="C37" s="269"/>
      <c r="D37" s="269"/>
      <c r="E37" s="269"/>
      <c r="F37" s="269"/>
      <c r="G37" s="269"/>
    </row>
    <row r="38" spans="1:14" x14ac:dyDescent="0.3">
      <c r="C38" s="269"/>
      <c r="D38" s="269"/>
      <c r="E38" s="269"/>
      <c r="F38" s="269"/>
      <c r="G38" s="269"/>
    </row>
    <row r="39" spans="1:14" x14ac:dyDescent="0.3">
      <c r="C39" s="269"/>
      <c r="D39" s="269"/>
      <c r="E39" s="269"/>
      <c r="F39" s="269"/>
      <c r="G39" s="269"/>
    </row>
    <row r="40" spans="1:14" x14ac:dyDescent="0.3">
      <c r="C40" s="269"/>
      <c r="D40" s="269"/>
      <c r="E40" s="269"/>
      <c r="F40" s="269"/>
      <c r="G40" s="269"/>
    </row>
    <row r="41" spans="1:14" x14ac:dyDescent="0.3">
      <c r="C41" s="269"/>
      <c r="D41" s="269"/>
      <c r="E41" s="269"/>
      <c r="F41" s="269"/>
      <c r="G41" s="269"/>
    </row>
    <row r="42" spans="1:14" x14ac:dyDescent="0.3">
      <c r="C42" s="269"/>
      <c r="D42" s="269"/>
      <c r="E42" s="269"/>
      <c r="F42" s="269"/>
      <c r="G42" s="269"/>
    </row>
    <row r="43" spans="1:14" x14ac:dyDescent="0.3">
      <c r="C43" s="269"/>
      <c r="D43" s="269"/>
      <c r="E43" s="269"/>
      <c r="F43" s="269"/>
      <c r="G43" s="269"/>
    </row>
    <row r="44" spans="1:14" x14ac:dyDescent="0.3">
      <c r="C44" s="269"/>
      <c r="D44" s="269"/>
      <c r="E44" s="269"/>
      <c r="F44" s="269"/>
      <c r="G44" s="269"/>
    </row>
    <row r="45" spans="1:14" x14ac:dyDescent="0.3">
      <c r="A45" s="100" t="s">
        <v>265</v>
      </c>
      <c r="C45" s="272"/>
      <c r="D45" s="272"/>
    </row>
    <row r="46" spans="1:14" ht="55.8" x14ac:dyDescent="0.3">
      <c r="A46" s="122" t="s">
        <v>13</v>
      </c>
      <c r="B46" s="122" t="s">
        <v>154</v>
      </c>
      <c r="C46" s="122" t="s">
        <v>34</v>
      </c>
      <c r="D46" s="345" t="s">
        <v>155</v>
      </c>
      <c r="E46" s="122" t="s">
        <v>161</v>
      </c>
      <c r="F46" s="122" t="s">
        <v>156</v>
      </c>
      <c r="G46" s="122" t="s">
        <v>162</v>
      </c>
      <c r="H46" s="122" t="str">
        <f>"Future Value in Project Year - "&amp;'CIP Summary'!$C$11</f>
        <v>Future Value in Project Year - Escalation</v>
      </c>
      <c r="I46" s="174" t="s">
        <v>179</v>
      </c>
    </row>
    <row r="47" spans="1:14" ht="42" x14ac:dyDescent="0.3">
      <c r="A47" s="127">
        <v>3</v>
      </c>
      <c r="B47" s="128" t="str">
        <f t="shared" ref="B47:B62" si="0">VLOOKUP($A47,CIP_Full,2,FALSE)</f>
        <v>30 MGD Expansion</v>
      </c>
      <c r="C47" s="129" t="str">
        <f t="shared" ref="C47:C62" si="1">VLOOKUP($A47,CIP_Full,3,FALSE)</f>
        <v>Actiflo™</v>
      </c>
      <c r="D47" s="128" t="str">
        <f t="shared" ref="D47:D62" si="2">VLOOKUP($A47,CIP_Full,4,FALSE)</f>
        <v>Construct an additional Actiflo basin for the 30 MGD capacity upgrade.  With the addition of a third basin, the WRWTP will have three 10 MGD basins and can run two basins at 15 MGD in the event one basin requires maintenance.</v>
      </c>
      <c r="E47" s="170">
        <f t="shared" ref="E47:E62" si="3">VLOOKUP($A47,CIP_Full,5,FALSE)</f>
        <v>4864843</v>
      </c>
      <c r="F47" s="134" t="str">
        <f t="shared" ref="F47:F62" si="4">VLOOKUP($A47,CIP_Full,6,FALSE)</f>
        <v>Yes</v>
      </c>
      <c r="G47" s="132">
        <f t="shared" ref="G47:G62" si="5">VLOOKUP($A47,CIP_Full,10,FALSE)</f>
        <v>6081053.75</v>
      </c>
      <c r="H47" s="132">
        <f t="shared" ref="H47:H62" si="6">VLOOKUP($A47,CIP_Full,13,FALSE)</f>
        <v>10051055.29240475</v>
      </c>
      <c r="I47" s="302"/>
      <c r="M47" s="398"/>
    </row>
    <row r="48" spans="1:14" ht="28.2" x14ac:dyDescent="0.3">
      <c r="A48" s="56">
        <v>21</v>
      </c>
      <c r="B48" s="128" t="str">
        <f t="shared" si="0"/>
        <v>30 MGD Expansion</v>
      </c>
      <c r="C48" s="129" t="str">
        <f t="shared" si="1"/>
        <v>Actiflo™</v>
      </c>
      <c r="D48" s="128" t="str">
        <f t="shared" si="2"/>
        <v>Replace the two installed flash mix pumps</v>
      </c>
      <c r="E48" s="170">
        <f t="shared" si="3"/>
        <v>378229</v>
      </c>
      <c r="F48" s="134" t="str">
        <f t="shared" si="4"/>
        <v>Yes</v>
      </c>
      <c r="G48" s="132">
        <f t="shared" si="5"/>
        <v>472786.25</v>
      </c>
      <c r="H48" s="132">
        <f t="shared" si="6"/>
        <v>781443.63388313993</v>
      </c>
      <c r="I48" s="299"/>
      <c r="M48" s="398"/>
      <c r="N48" s="399"/>
    </row>
    <row r="49" spans="1:9" ht="55.8" x14ac:dyDescent="0.3">
      <c r="A49" s="56">
        <v>25</v>
      </c>
      <c r="B49" s="128" t="str">
        <f t="shared" si="0"/>
        <v>30 MGD Expansion</v>
      </c>
      <c r="C49" s="129" t="str">
        <f t="shared" si="1"/>
        <v>Chemical Storage/ Ozone Generation</v>
      </c>
      <c r="D49" s="128" t="str">
        <f t="shared" si="2"/>
        <v>Replace existing 6,000 gallon LOX storage tank with larger tank (12,000 to 15,000 gallons) to ensure sufficient storage with 20 MGD plant capacity.  Recommend purchasing LOX tank (rather than leasing from vendor) so LOX can be purchased from different vendors.</v>
      </c>
      <c r="E49" s="170">
        <f t="shared" si="3"/>
        <v>262500</v>
      </c>
      <c r="F49" s="134" t="str">
        <f t="shared" si="4"/>
        <v>Yes</v>
      </c>
      <c r="G49" s="132">
        <f t="shared" si="5"/>
        <v>328125</v>
      </c>
      <c r="H49" s="132">
        <f t="shared" si="6"/>
        <v>542340.6293391682</v>
      </c>
      <c r="I49" s="303"/>
    </row>
    <row r="50" spans="1:9" ht="28.2" x14ac:dyDescent="0.3">
      <c r="A50" s="56">
        <v>28</v>
      </c>
      <c r="B50" s="128" t="str">
        <f t="shared" si="0"/>
        <v>30 MGD Expansion</v>
      </c>
      <c r="C50" s="129" t="str">
        <f t="shared" si="1"/>
        <v>Chemical Storage/ Ozone Generation</v>
      </c>
      <c r="D50" s="128" t="str">
        <f t="shared" si="2"/>
        <v>Install a second dry polymer feeder to provide redundancy to plant chemical operations</v>
      </c>
      <c r="E50" s="170">
        <f t="shared" si="3"/>
        <v>240000</v>
      </c>
      <c r="F50" s="134" t="str">
        <f t="shared" si="4"/>
        <v>Yes</v>
      </c>
      <c r="G50" s="132">
        <f t="shared" si="5"/>
        <v>300000</v>
      </c>
      <c r="H50" s="132">
        <f t="shared" si="6"/>
        <v>495854.2896815252</v>
      </c>
      <c r="I50" s="303"/>
    </row>
    <row r="51" spans="1:9" ht="27" customHeight="1" x14ac:dyDescent="0.3">
      <c r="A51" s="56">
        <v>29</v>
      </c>
      <c r="B51" s="128" t="str">
        <f t="shared" si="0"/>
        <v>30 MGD Expansion</v>
      </c>
      <c r="C51" s="129" t="str">
        <f t="shared" si="1"/>
        <v>Chemical Storage/ Ozone Generation</v>
      </c>
      <c r="D51" s="128" t="str">
        <f t="shared" si="2"/>
        <v>Install a third 400 PPD ozone generator to support plant capacity expansion</v>
      </c>
      <c r="E51" s="170">
        <f t="shared" si="3"/>
        <v>1193917</v>
      </c>
      <c r="F51" s="134" t="str">
        <f t="shared" si="4"/>
        <v>Yes</v>
      </c>
      <c r="G51" s="132">
        <f t="shared" si="5"/>
        <v>1492396.25</v>
      </c>
      <c r="H51" s="132">
        <f t="shared" si="6"/>
        <v>2466703.6082237395</v>
      </c>
      <c r="I51" s="303"/>
    </row>
    <row r="52" spans="1:9" ht="33.6" customHeight="1" x14ac:dyDescent="0.3">
      <c r="A52" s="56">
        <v>30</v>
      </c>
      <c r="B52" s="128" t="str">
        <f t="shared" si="0"/>
        <v>30 MGD Expansion</v>
      </c>
      <c r="C52" s="129" t="str">
        <f t="shared" si="1"/>
        <v>Chemical Storage/ Ozone Generation</v>
      </c>
      <c r="D52" s="128" t="str">
        <f t="shared" si="2"/>
        <v>Convert hypochlorite system from liquid chemical storage to dry sodium hypochlorite process system for increased storage capacity and plant resiliency.</v>
      </c>
      <c r="E52" s="170">
        <f t="shared" si="3"/>
        <v>637883</v>
      </c>
      <c r="F52" s="134" t="str">
        <f t="shared" si="4"/>
        <v>Yes</v>
      </c>
      <c r="G52" s="132">
        <f t="shared" si="5"/>
        <v>797353.75</v>
      </c>
      <c r="H52" s="132">
        <f t="shared" si="6"/>
        <v>1317904.2577705015</v>
      </c>
      <c r="I52" s="303"/>
    </row>
    <row r="53" spans="1:9" ht="70.95" customHeight="1" x14ac:dyDescent="0.3">
      <c r="A53" s="56">
        <v>31</v>
      </c>
      <c r="B53" s="128" t="str">
        <f t="shared" si="0"/>
        <v>30 MGD Expansion</v>
      </c>
      <c r="C53" s="129" t="str">
        <f t="shared" si="1"/>
        <v>Chemical Storage/ Ozone Generation</v>
      </c>
      <c r="D53" s="128" t="str">
        <f t="shared" si="2"/>
        <v>Modify existing Chemical Storage Room to increase usable space for existing chemical systems.  Recommendations include installation of roll-up door, removal of aqueous ammonia system, modifications necessary to expand hypochlorite system, and modifications to chemical containment to allow additional tanks.</v>
      </c>
      <c r="E53" s="170">
        <f t="shared" si="3"/>
        <v>160350</v>
      </c>
      <c r="F53" s="134" t="str">
        <f t="shared" si="4"/>
        <v>Yes</v>
      </c>
      <c r="G53" s="132">
        <f t="shared" si="5"/>
        <v>200437.5</v>
      </c>
      <c r="H53" s="132">
        <f t="shared" si="6"/>
        <v>331292.64729346905</v>
      </c>
      <c r="I53" s="303"/>
    </row>
    <row r="54" spans="1:9" ht="28.2" x14ac:dyDescent="0.3">
      <c r="A54" s="56">
        <v>60</v>
      </c>
      <c r="B54" s="128" t="str">
        <f t="shared" si="0"/>
        <v>30 MGD Expansion</v>
      </c>
      <c r="C54" s="129" t="str">
        <f t="shared" si="1"/>
        <v>Filters</v>
      </c>
      <c r="D54" s="128" t="str">
        <f t="shared" si="2"/>
        <v>Construct two new media filters to support plant expansion to 30 MGD</v>
      </c>
      <c r="E54" s="170">
        <f t="shared" si="3"/>
        <v>4185194</v>
      </c>
      <c r="F54" s="134" t="str">
        <f t="shared" si="4"/>
        <v>Yes</v>
      </c>
      <c r="G54" s="132">
        <f t="shared" si="5"/>
        <v>5231492.5</v>
      </c>
      <c r="H54" s="132">
        <f t="shared" si="6"/>
        <v>8646859.9918724224</v>
      </c>
      <c r="I54" s="303"/>
    </row>
    <row r="55" spans="1:9" ht="28.2" x14ac:dyDescent="0.3">
      <c r="A55" s="56">
        <v>76</v>
      </c>
      <c r="B55" s="128" t="str">
        <f t="shared" si="0"/>
        <v>30 MGD Expansion</v>
      </c>
      <c r="C55" s="129" t="str">
        <f t="shared" si="1"/>
        <v>Finished Water Pump Station</v>
      </c>
      <c r="D55" s="128" t="str">
        <f t="shared" si="2"/>
        <v>Upgrade three existing 7.5 MGD finished water pumps with three 12 MGD pumps</v>
      </c>
      <c r="E55" s="170">
        <f t="shared" si="3"/>
        <v>4896098</v>
      </c>
      <c r="F55" s="134" t="str">
        <f t="shared" si="4"/>
        <v>Yes</v>
      </c>
      <c r="G55" s="132">
        <f t="shared" si="5"/>
        <v>6120122.5</v>
      </c>
      <c r="H55" s="132">
        <f t="shared" si="6"/>
        <v>10115629.983338067</v>
      </c>
      <c r="I55" s="303"/>
    </row>
    <row r="56" spans="1:9" ht="42" x14ac:dyDescent="0.3">
      <c r="A56" s="56">
        <v>77</v>
      </c>
      <c r="B56" s="128" t="str">
        <f t="shared" si="0"/>
        <v>30 MGD Expansion</v>
      </c>
      <c r="C56" s="129" t="str">
        <f t="shared" si="1"/>
        <v>Finished Water Pump Station</v>
      </c>
      <c r="D56" s="128" t="str">
        <f t="shared" si="2"/>
        <v>Install a fifth finished water pump as part of the 30 MGD upgrade.  Recommend 7.5 MGD pump (only valid if not installed during 20 MGD expansion)</v>
      </c>
      <c r="E56" s="170">
        <f t="shared" si="3"/>
        <v>1185023</v>
      </c>
      <c r="F56" s="134" t="str">
        <f t="shared" si="4"/>
        <v>Yes</v>
      </c>
      <c r="G56" s="132">
        <f t="shared" si="5"/>
        <v>1481278.75</v>
      </c>
      <c r="H56" s="132">
        <f t="shared" si="6"/>
        <v>2448328.0746719586</v>
      </c>
      <c r="I56" s="303"/>
    </row>
    <row r="57" spans="1:9" ht="28.2" x14ac:dyDescent="0.3">
      <c r="A57" s="56">
        <v>101</v>
      </c>
      <c r="B57" s="128" t="str">
        <f t="shared" si="0"/>
        <v>30 MGD Expansion</v>
      </c>
      <c r="C57" s="129" t="str">
        <f t="shared" si="1"/>
        <v>Ozonation</v>
      </c>
      <c r="D57" s="128" t="str">
        <f t="shared" si="2"/>
        <v>Construct a third ozone basin and gallery to support 30 MGD expansion</v>
      </c>
      <c r="E57" s="170">
        <f t="shared" si="3"/>
        <v>3420955</v>
      </c>
      <c r="F57" s="134" t="str">
        <f t="shared" si="4"/>
        <v>Yes</v>
      </c>
      <c r="G57" s="132">
        <f t="shared" si="5"/>
        <v>4276193.75</v>
      </c>
      <c r="H57" s="132">
        <f t="shared" si="6"/>
        <v>7067896.7148227589</v>
      </c>
      <c r="I57" s="303"/>
    </row>
    <row r="58" spans="1:9" ht="33" customHeight="1" x14ac:dyDescent="0.3">
      <c r="A58" s="56">
        <v>108</v>
      </c>
      <c r="B58" s="128" t="str">
        <f t="shared" si="0"/>
        <v>30 MGD Expansion</v>
      </c>
      <c r="C58" s="129" t="str">
        <f t="shared" si="1"/>
        <v>Raw Water Pump Station</v>
      </c>
      <c r="D58" s="128" t="str">
        <f t="shared" si="2"/>
        <v>Replace two existing 7.5 MGD pumps with 15 MGD pumps</v>
      </c>
      <c r="E58" s="170">
        <f t="shared" si="3"/>
        <v>1772847</v>
      </c>
      <c r="F58" s="134" t="str">
        <f t="shared" si="4"/>
        <v>Yes</v>
      </c>
      <c r="G58" s="132">
        <f t="shared" si="5"/>
        <v>2216058.75</v>
      </c>
      <c r="H58" s="132">
        <f t="shared" si="6"/>
        <v>3662807.4579125955</v>
      </c>
      <c r="I58" s="303"/>
    </row>
    <row r="59" spans="1:9" ht="28.2" x14ac:dyDescent="0.3">
      <c r="A59" s="56">
        <v>118</v>
      </c>
      <c r="B59" s="128" t="str">
        <f t="shared" si="0"/>
        <v>30 MGD Expansion</v>
      </c>
      <c r="C59" s="129" t="str">
        <f t="shared" si="1"/>
        <v>Solids - Dewatering</v>
      </c>
      <c r="D59" s="128" t="str">
        <f t="shared" si="2"/>
        <v>Install a third 60 GPM centrifuge and solids transfer pump to support the 30 MGD plant expansion</v>
      </c>
      <c r="E59" s="170">
        <f t="shared" si="3"/>
        <v>1665316</v>
      </c>
      <c r="F59" s="134" t="str">
        <f t="shared" si="4"/>
        <v>Yes</v>
      </c>
      <c r="G59" s="132">
        <f t="shared" si="5"/>
        <v>2081645</v>
      </c>
      <c r="H59" s="132">
        <f t="shared" si="6"/>
        <v>3440642.0094803283</v>
      </c>
      <c r="I59" s="303"/>
    </row>
    <row r="60" spans="1:9" ht="30" customHeight="1" x14ac:dyDescent="0.3">
      <c r="A60" s="56">
        <v>128</v>
      </c>
      <c r="B60" s="128" t="str">
        <f t="shared" si="0"/>
        <v>30 MGD Expansion</v>
      </c>
      <c r="C60" s="129" t="str">
        <f t="shared" si="1"/>
        <v>Solids - Gravity Thickener</v>
      </c>
      <c r="D60" s="128" t="str">
        <f t="shared" si="2"/>
        <v>Construct a second 35-ft diameter gravity thickener to support the 30 MGD plant expansion and provide solids handling redundancy</v>
      </c>
      <c r="E60" s="170">
        <f t="shared" si="3"/>
        <v>870475</v>
      </c>
      <c r="F60" s="134" t="str">
        <f t="shared" si="4"/>
        <v>Yes</v>
      </c>
      <c r="G60" s="132">
        <f t="shared" si="5"/>
        <v>1088093.75</v>
      </c>
      <c r="H60" s="132">
        <f t="shared" si="6"/>
        <v>1798453.1783771901</v>
      </c>
      <c r="I60" s="303"/>
    </row>
    <row r="61" spans="1:9" ht="28.2" x14ac:dyDescent="0.3">
      <c r="A61" s="56">
        <v>132</v>
      </c>
      <c r="B61" s="128" t="str">
        <f t="shared" si="0"/>
        <v>30 MGD Expansion</v>
      </c>
      <c r="C61" s="129" t="str">
        <f t="shared" si="1"/>
        <v>WWEQ Basin</v>
      </c>
      <c r="D61" s="128" t="str">
        <f t="shared" si="2"/>
        <v>Install fourth washwater recycle pump for additional redundancy at 30 MGD expansion</v>
      </c>
      <c r="E61" s="170">
        <f t="shared" si="3"/>
        <v>281250</v>
      </c>
      <c r="F61" s="134" t="str">
        <f t="shared" si="4"/>
        <v>Yes</v>
      </c>
      <c r="G61" s="132">
        <f t="shared" si="5"/>
        <v>351562.5</v>
      </c>
      <c r="H61" s="132">
        <f t="shared" si="6"/>
        <v>581079.24572053738</v>
      </c>
      <c r="I61" s="303"/>
    </row>
    <row r="62" spans="1:9" ht="28.95" customHeight="1" x14ac:dyDescent="0.3">
      <c r="A62" s="201">
        <v>173</v>
      </c>
      <c r="B62" s="128" t="str">
        <f t="shared" si="0"/>
        <v>30 MGD Expansion</v>
      </c>
      <c r="C62" s="129" t="str">
        <f t="shared" si="1"/>
        <v>Finished Water Pump Station</v>
      </c>
      <c r="D62" s="128" t="str">
        <f t="shared" si="2"/>
        <v>Temporary pump station to supply 15 MGD from the WWSP Treatment Plant to the WRWTP distribution system in the event of a service distruption.</v>
      </c>
      <c r="E62" s="170">
        <f t="shared" si="3"/>
        <v>4896098</v>
      </c>
      <c r="F62" s="134" t="str">
        <f t="shared" si="4"/>
        <v>Yes</v>
      </c>
      <c r="G62" s="132">
        <f t="shared" si="5"/>
        <v>6120122.5</v>
      </c>
      <c r="H62" s="132">
        <f t="shared" si="6"/>
        <v>10115629.983338067</v>
      </c>
      <c r="I62" s="304"/>
    </row>
    <row r="63" spans="1:9" x14ac:dyDescent="0.3">
      <c r="A63" s="208" t="s">
        <v>3</v>
      </c>
      <c r="B63" s="209"/>
      <c r="C63" s="2"/>
      <c r="D63" s="209"/>
      <c r="E63" s="209"/>
      <c r="F63" s="209"/>
      <c r="G63" s="209"/>
      <c r="H63" s="209"/>
      <c r="I63" s="210"/>
    </row>
    <row r="64" spans="1:9" x14ac:dyDescent="0.3">
      <c r="A64" s="14" t="s">
        <v>2</v>
      </c>
      <c r="B64" s="138" t="str">
        <f>"In "&amp;TEXT(estimate_date,"mm/yy")&amp;" dollars. Assuming "&amp;Design*100&amp;"% contingency for Design and "&amp;Admin*100&amp;"% for legal and administration costs."</f>
        <v>In 09/17 dollars. Assuming 15% contingency for Design and 10% for legal and administration costs.</v>
      </c>
      <c r="C64" s="137"/>
      <c r="D64" s="137"/>
      <c r="E64" s="137"/>
      <c r="F64" s="137"/>
      <c r="G64" s="137"/>
      <c r="H64" s="137"/>
      <c r="I64" s="141"/>
    </row>
  </sheetData>
  <sheetProtection algorithmName="SHA-512" hashValue="Hb7K//cQgrH8AYjaUdVixrU03h1kYYhp9Y/1dLGAYo23T+WCS4JAgg2BjT3ArnWJ8UolVHnJ2RPp/hR3KtuxDQ==" saltValue="lOOzBNgu7qAY6ewMDrYq9w==" spinCount="100000" sheet="1" objects="1" scenarios="1"/>
  <mergeCells count="4">
    <mergeCell ref="A5:B5"/>
    <mergeCell ref="A6:B6"/>
    <mergeCell ref="A7:B7"/>
    <mergeCell ref="C7:G12"/>
  </mergeCells>
  <dataValidations count="2">
    <dataValidation type="list" allowBlank="1" showInputMessage="1" showErrorMessage="1" sqref="F47:F62">
      <formula1>"Yes,No"</formula1>
    </dataValidation>
    <dataValidation type="list" allowBlank="1" showInputMessage="1" showErrorMessage="1" sqref="C6">
      <formula1>"Risk Mitigation,Capacity Improvement,Renewal and Replacement,Treatment Upgrade, Study"</formula1>
    </dataValidation>
  </dataValidations>
  <pageMargins left="0.7" right="0.7" top="0.75" bottom="0.75" header="0.3" footer="0.3"/>
  <pageSetup scale="65" orientation="landscape" verticalDpi="1200" r:id="rId1"/>
  <headerFooter>
    <oddHeader>&amp;L&amp;"Arial,Bold"WILLAMETTE RIVER WATER TREATMENT PLANT - 2017 MASTER PLAN UPDATE
CAPITAL IMPROVEMENT PLAN WORKBOOK
PROJECT NO. 4</oddHeader>
    <oddFooter>&amp;L&amp;"Arial,Regular"&amp;8WRWTP - 2017 MPU CIP Workbook&amp;C&amp;"Arial,Regular"&amp;8&amp;A Sheet&amp;R&amp;"Arial,Regular"&amp;8Page &amp;P of &amp;N</oddFooter>
  </headerFooter>
  <rowBreaks count="1" manualBreakCount="1">
    <brk id="44" max="8"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P95"/>
  <sheetViews>
    <sheetView zoomScaleNormal="100" zoomScaleSheetLayoutView="100" workbookViewId="0">
      <selection activeCell="M9" sqref="M9"/>
    </sheetView>
  </sheetViews>
  <sheetFormatPr defaultRowHeight="14.4" x14ac:dyDescent="0.3"/>
  <cols>
    <col min="1" max="1" width="4.33203125" customWidth="1"/>
    <col min="2" max="2" width="16.6640625" customWidth="1"/>
    <col min="3" max="3" width="16.109375" customWidth="1"/>
    <col min="4" max="4" width="54.5546875" customWidth="1"/>
    <col min="5" max="5" width="13.5546875" customWidth="1"/>
    <col min="6" max="6" width="9.6640625" customWidth="1"/>
    <col min="7" max="7" width="12.44140625" customWidth="1"/>
    <col min="8" max="8" width="13" customWidth="1"/>
    <col min="9" max="9" width="13.88671875" customWidth="1"/>
    <col min="10" max="10" width="13.5546875" customWidth="1"/>
    <col min="11" max="11" width="10" bestFit="1" customWidth="1"/>
    <col min="12" max="12" width="14.6640625" bestFit="1" customWidth="1"/>
    <col min="13" max="13" width="13.6640625" bestFit="1" customWidth="1"/>
    <col min="15" max="15" width="13.6640625" bestFit="1" customWidth="1"/>
  </cols>
  <sheetData>
    <row r="1" spans="1:16" x14ac:dyDescent="0.3">
      <c r="A1" s="95" t="s">
        <v>174</v>
      </c>
      <c r="C1" s="94"/>
      <c r="D1" s="94"/>
    </row>
    <row r="2" spans="1:16" x14ac:dyDescent="0.3">
      <c r="A2" s="95" t="s">
        <v>167</v>
      </c>
      <c r="C2" s="94"/>
      <c r="D2" s="94"/>
    </row>
    <row r="3" spans="1:16" x14ac:dyDescent="0.3">
      <c r="A3" s="97" t="s">
        <v>230</v>
      </c>
      <c r="C3" s="213"/>
      <c r="D3" s="94"/>
    </row>
    <row r="4" spans="1:16" x14ac:dyDescent="0.3">
      <c r="A4" s="94"/>
      <c r="C4" s="94"/>
      <c r="D4" s="94"/>
    </row>
    <row r="5" spans="1:16" x14ac:dyDescent="0.3">
      <c r="A5" s="215" t="s">
        <v>221</v>
      </c>
      <c r="C5" s="204" t="s">
        <v>166</v>
      </c>
    </row>
    <row r="6" spans="1:16" ht="13.95" customHeight="1" x14ac:dyDescent="0.3">
      <c r="A6" s="216" t="s">
        <v>222</v>
      </c>
      <c r="C6" s="92" t="s">
        <v>181</v>
      </c>
    </row>
    <row r="7" spans="1:16" ht="14.4" customHeight="1" x14ac:dyDescent="0.3">
      <c r="A7" s="100" t="s">
        <v>28</v>
      </c>
      <c r="C7" s="431" t="s">
        <v>225</v>
      </c>
      <c r="D7" s="431"/>
      <c r="E7" s="431"/>
      <c r="F7" s="431"/>
    </row>
    <row r="8" spans="1:16" x14ac:dyDescent="0.3">
      <c r="A8" s="99"/>
      <c r="C8" s="431"/>
      <c r="D8" s="431"/>
      <c r="E8" s="431"/>
      <c r="F8" s="431"/>
    </row>
    <row r="9" spans="1:16" x14ac:dyDescent="0.3">
      <c r="A9" s="268"/>
      <c r="C9" s="214"/>
      <c r="D9" s="269"/>
      <c r="E9" s="269"/>
      <c r="F9" s="269"/>
      <c r="G9" s="269"/>
    </row>
    <row r="10" spans="1:16" x14ac:dyDescent="0.3">
      <c r="A10" s="100" t="s">
        <v>265</v>
      </c>
      <c r="D10" s="16"/>
    </row>
    <row r="11" spans="1:16" ht="109.95" customHeight="1" x14ac:dyDescent="0.3">
      <c r="A11" s="330" t="s">
        <v>13</v>
      </c>
      <c r="B11" s="331" t="s">
        <v>154</v>
      </c>
      <c r="C11" s="330" t="s">
        <v>34</v>
      </c>
      <c r="D11" s="331" t="s">
        <v>155</v>
      </c>
      <c r="E11" s="330" t="s">
        <v>161</v>
      </c>
      <c r="F11" s="330" t="s">
        <v>156</v>
      </c>
      <c r="G11" s="330" t="s">
        <v>162</v>
      </c>
      <c r="H11" s="330" t="s">
        <v>177</v>
      </c>
      <c r="I11" s="330" t="str">
        <f>"Future Value in Project Year - "&amp;RRCostProjection</f>
        <v>Future Value in Project Year - Escalation</v>
      </c>
      <c r="J11" s="334" t="s">
        <v>179</v>
      </c>
    </row>
    <row r="12" spans="1:16" ht="28.2" x14ac:dyDescent="0.3">
      <c r="A12" s="127">
        <v>10</v>
      </c>
      <c r="B12" s="128" t="str">
        <f t="shared" ref="B12:B43" si="0">VLOOKUP($A12,CIP_Full,2,FALSE)</f>
        <v>Repair &amp; Replace</v>
      </c>
      <c r="C12" s="128" t="str">
        <f>VLOOKUP($A12,CIP_Full,3,FALSE)</f>
        <v>Actiflo™</v>
      </c>
      <c r="D12" s="270" t="str">
        <f>VLOOKUP($A12,CIP_Full,4,FALSE)</f>
        <v>Replace the four hydrocyclones installed in the two existing Actiflo Basins</v>
      </c>
      <c r="E12" s="133">
        <f>VLOOKUP($A12,CIP_Full,5,FALSE)</f>
        <v>318000</v>
      </c>
      <c r="F12" s="134" t="str">
        <f>VLOOKUP($A12,CIP_Full,6,FALSE)</f>
        <v>No</v>
      </c>
      <c r="G12" s="130">
        <f>VLOOKUP($A12,CIP_Full,10,FALSE)</f>
        <v>349800</v>
      </c>
      <c r="H12" s="229">
        <f t="shared" ref="H12:H43" si="1">VLOOKUP($A12,CIP_Full,11,FALSE)</f>
        <v>2020</v>
      </c>
      <c r="I12" s="131">
        <f t="shared" ref="I12:I43" si="2">VLOOKUP($A12,CIP_Full,13,FALSE)</f>
        <v>382235.90460000001</v>
      </c>
      <c r="J12" s="298"/>
      <c r="K12" s="84"/>
      <c r="L12" s="398"/>
      <c r="M12" s="399"/>
    </row>
    <row r="13" spans="1:16" ht="28.2" x14ac:dyDescent="0.3">
      <c r="A13" s="56">
        <v>12</v>
      </c>
      <c r="B13" s="128" t="str">
        <f t="shared" si="0"/>
        <v>Repair &amp; Replace</v>
      </c>
      <c r="C13" s="128" t="str">
        <f>VLOOKUP($A13,CIP_Full,3,FALSE)</f>
        <v>Actiflo™</v>
      </c>
      <c r="D13" s="270" t="str">
        <f>VLOOKUP($A13,CIP_Full,4,FALSE)</f>
        <v>Replace lamella settling tubes in the two existing Actiflo basins, which are damaged due to UV exposure.</v>
      </c>
      <c r="E13" s="133">
        <f>VLOOKUP($A13,CIP_Full,5,FALSE)</f>
        <v>245656</v>
      </c>
      <c r="F13" s="134" t="str">
        <f>VLOOKUP($A13,CIP_Full,6,FALSE)</f>
        <v>No</v>
      </c>
      <c r="G13" s="130">
        <f>VLOOKUP($A13,CIP_Full,10,FALSE)</f>
        <v>270221.60000000003</v>
      </c>
      <c r="H13" s="229">
        <f t="shared" si="1"/>
        <v>2020</v>
      </c>
      <c r="I13" s="131">
        <f t="shared" si="2"/>
        <v>295278.43830320006</v>
      </c>
      <c r="J13" s="298"/>
      <c r="L13" s="398"/>
    </row>
    <row r="14" spans="1:16" ht="28.2" x14ac:dyDescent="0.3">
      <c r="A14" s="56">
        <v>13</v>
      </c>
      <c r="B14" s="128" t="str">
        <f t="shared" si="0"/>
        <v>Repair &amp; Replace</v>
      </c>
      <c r="C14" s="128" t="str">
        <f>VLOOKUP($A14,CIP_Full,3,FALSE)</f>
        <v>Actiflo™</v>
      </c>
      <c r="D14" s="270" t="str">
        <f>VLOOKUP($A14,CIP_Full,4,FALSE)</f>
        <v>Upgrade vendor PLC components in the two existing Actiflo basins</v>
      </c>
      <c r="E14" s="133">
        <f>VLOOKUP($A14,CIP_Full,5,FALSE)</f>
        <v>62108</v>
      </c>
      <c r="F14" s="134" t="str">
        <f>VLOOKUP($A14,CIP_Full,6,FALSE)</f>
        <v>No</v>
      </c>
      <c r="G14" s="130">
        <f>VLOOKUP($A14,CIP_Full,10,FALSE)</f>
        <v>68318.8</v>
      </c>
      <c r="H14" s="229">
        <f t="shared" si="1"/>
        <v>2022</v>
      </c>
      <c r="I14" s="131">
        <f t="shared" si="2"/>
        <v>79200.213627286837</v>
      </c>
      <c r="J14" s="298"/>
      <c r="M14" s="398"/>
      <c r="N14" s="399"/>
      <c r="O14" s="398"/>
      <c r="P14" s="400"/>
    </row>
    <row r="15" spans="1:16" ht="28.2" x14ac:dyDescent="0.3">
      <c r="A15" s="56">
        <v>14</v>
      </c>
      <c r="B15" s="128" t="str">
        <f t="shared" si="0"/>
        <v>Repair &amp; Replace</v>
      </c>
      <c r="C15" s="129" t="str">
        <f>VLOOKUP(A15,CIP_Full,3,FALSE)</f>
        <v>Actiflo™</v>
      </c>
      <c r="D15" s="129" t="str">
        <f>VLOOKUP(A15,CIP_Full,4,FALSE)</f>
        <v>Replace the two flash mix pumps (installed and standby)</v>
      </c>
      <c r="E15" s="169">
        <f>VLOOKUP(A15,CIP_Full,5,FALSE)</f>
        <v>188760</v>
      </c>
      <c r="F15" s="134" t="str">
        <f>VLOOKUP(A15,CIP_Full,6,FALSE)</f>
        <v>No</v>
      </c>
      <c r="G15" s="134">
        <f>VLOOKUP(A15,CIP_Full,10,FALSE)</f>
        <v>207636.00000000003</v>
      </c>
      <c r="H15" s="229">
        <f t="shared" si="1"/>
        <v>2020</v>
      </c>
      <c r="I15" s="131">
        <f t="shared" si="2"/>
        <v>226889.46337200003</v>
      </c>
      <c r="J15" s="298"/>
      <c r="M15" s="398"/>
      <c r="N15" s="399"/>
      <c r="O15" s="398"/>
      <c r="P15" s="400"/>
    </row>
    <row r="16" spans="1:16" s="135" customFormat="1" ht="28.2" x14ac:dyDescent="0.3">
      <c r="A16" s="56">
        <v>15</v>
      </c>
      <c r="B16" s="128" t="str">
        <f t="shared" si="0"/>
        <v>Repair &amp; Replace</v>
      </c>
      <c r="C16" s="128" t="str">
        <f t="shared" ref="C16:C47" si="3">VLOOKUP($A16,CIP_Full,3,FALSE)</f>
        <v>Actiflo™</v>
      </c>
      <c r="D16" s="270" t="str">
        <f t="shared" ref="D16:D47" si="4">VLOOKUP($A16,CIP_Full,4,FALSE)</f>
        <v>Replace the six mixers installed in the two existing Actiflo Basins</v>
      </c>
      <c r="E16" s="133">
        <f t="shared" ref="E16:E47" si="5">VLOOKUP($A16,CIP_Full,5,FALSE)</f>
        <v>302400</v>
      </c>
      <c r="F16" s="134" t="str">
        <f t="shared" ref="F16:F47" si="6">VLOOKUP($A16,CIP_Full,6,FALSE)</f>
        <v>No</v>
      </c>
      <c r="G16" s="130">
        <f t="shared" ref="G16:G47" si="7">VLOOKUP($A16,CIP_Full,10,FALSE)</f>
        <v>332640</v>
      </c>
      <c r="H16" s="229">
        <f t="shared" si="1"/>
        <v>2022</v>
      </c>
      <c r="I16" s="131">
        <f t="shared" si="2"/>
        <v>385620.92807515193</v>
      </c>
      <c r="J16" s="298"/>
      <c r="M16" s="398"/>
      <c r="N16" s="399"/>
      <c r="O16" s="398"/>
      <c r="P16" s="400"/>
    </row>
    <row r="17" spans="1:16" ht="28.2" x14ac:dyDescent="0.3">
      <c r="A17" s="56">
        <v>16</v>
      </c>
      <c r="B17" s="128" t="str">
        <f t="shared" si="0"/>
        <v>Repair &amp; Replace</v>
      </c>
      <c r="C17" s="128" t="str">
        <f t="shared" si="3"/>
        <v>Actiflo™</v>
      </c>
      <c r="D17" s="270" t="str">
        <f t="shared" si="4"/>
        <v>Replace the two sample pumps installed in the two existing Actiflo Basins</v>
      </c>
      <c r="E17" s="133">
        <f t="shared" si="5"/>
        <v>46051</v>
      </c>
      <c r="F17" s="134" t="str">
        <f t="shared" si="6"/>
        <v>No</v>
      </c>
      <c r="G17" s="130">
        <f t="shared" si="7"/>
        <v>50656.100000000006</v>
      </c>
      <c r="H17" s="229">
        <f t="shared" si="1"/>
        <v>2022</v>
      </c>
      <c r="I17" s="131">
        <f t="shared" si="2"/>
        <v>58724.303435148227</v>
      </c>
      <c r="J17" s="298"/>
      <c r="K17" s="135"/>
      <c r="M17" s="398"/>
      <c r="N17" s="399"/>
      <c r="O17" s="398"/>
      <c r="P17" s="400"/>
    </row>
    <row r="18" spans="1:16" s="135" customFormat="1" ht="28.2" x14ac:dyDescent="0.3">
      <c r="A18" s="56">
        <v>17</v>
      </c>
      <c r="B18" s="128" t="str">
        <f t="shared" si="0"/>
        <v>Repair &amp; Replace</v>
      </c>
      <c r="C18" s="128" t="str">
        <f t="shared" si="3"/>
        <v>Actiflo™</v>
      </c>
      <c r="D18" s="270" t="str">
        <f t="shared" si="4"/>
        <v>Replace original dry polymer batching system (T-13ME01)</v>
      </c>
      <c r="E18" s="133">
        <f t="shared" si="5"/>
        <v>198750</v>
      </c>
      <c r="F18" s="134" t="str">
        <f t="shared" si="6"/>
        <v>No</v>
      </c>
      <c r="G18" s="130">
        <f t="shared" si="7"/>
        <v>218625.00000000003</v>
      </c>
      <c r="H18" s="229">
        <f t="shared" si="1"/>
        <v>2027</v>
      </c>
      <c r="I18" s="131">
        <f t="shared" si="2"/>
        <v>293813.71843410865</v>
      </c>
      <c r="J18" s="298"/>
      <c r="L18"/>
      <c r="M18" s="398"/>
      <c r="N18" s="399"/>
      <c r="O18" s="398"/>
      <c r="P18" s="400"/>
    </row>
    <row r="19" spans="1:16" ht="28.2" x14ac:dyDescent="0.3">
      <c r="A19" s="56">
        <v>18</v>
      </c>
      <c r="B19" s="128" t="str">
        <f t="shared" si="0"/>
        <v>Repair &amp; Replace</v>
      </c>
      <c r="C19" s="128" t="str">
        <f t="shared" si="3"/>
        <v>Actiflo™</v>
      </c>
      <c r="D19" s="270" t="str">
        <f t="shared" si="4"/>
        <v>PLC upgrade for Actiflo Local Control Panels</v>
      </c>
      <c r="E19" s="133">
        <f t="shared" si="5"/>
        <v>84000</v>
      </c>
      <c r="F19" s="134" t="str">
        <f t="shared" si="6"/>
        <v>No</v>
      </c>
      <c r="G19" s="130">
        <f t="shared" si="7"/>
        <v>92400.000000000015</v>
      </c>
      <c r="H19" s="229">
        <f t="shared" si="1"/>
        <v>2027</v>
      </c>
      <c r="I19" s="131">
        <f t="shared" si="2"/>
        <v>124177.87345139687</v>
      </c>
      <c r="J19" s="299"/>
      <c r="K19" s="135"/>
      <c r="L19" s="135"/>
      <c r="M19" s="398"/>
      <c r="N19" s="399"/>
      <c r="O19" s="398"/>
      <c r="P19" s="400"/>
    </row>
    <row r="20" spans="1:16" ht="28.2" x14ac:dyDescent="0.3">
      <c r="A20" s="56">
        <v>19</v>
      </c>
      <c r="B20" s="128" t="str">
        <f t="shared" si="0"/>
        <v>Repair &amp; Replace</v>
      </c>
      <c r="C20" s="128" t="str">
        <f t="shared" si="3"/>
        <v>Actiflo™</v>
      </c>
      <c r="D20" s="270" t="str">
        <f t="shared" si="4"/>
        <v>Replace existing streaming current analyzer on Actiflo inlet</v>
      </c>
      <c r="E20" s="133">
        <f t="shared" si="5"/>
        <v>23500</v>
      </c>
      <c r="F20" s="134" t="str">
        <f t="shared" si="6"/>
        <v>No</v>
      </c>
      <c r="G20" s="130">
        <f t="shared" si="7"/>
        <v>25850.000000000004</v>
      </c>
      <c r="H20" s="229">
        <f t="shared" si="1"/>
        <v>2036</v>
      </c>
      <c r="I20" s="131">
        <f t="shared" si="2"/>
        <v>45328.131472043046</v>
      </c>
      <c r="J20" s="299"/>
      <c r="K20" s="135"/>
      <c r="M20" s="398"/>
      <c r="N20" s="399"/>
      <c r="O20" s="398"/>
      <c r="P20" s="400"/>
    </row>
    <row r="21" spans="1:16" ht="28.2" x14ac:dyDescent="0.3">
      <c r="A21" s="56">
        <v>20</v>
      </c>
      <c r="B21" s="128" t="str">
        <f t="shared" si="0"/>
        <v>Repair &amp; Replace</v>
      </c>
      <c r="C21" s="128" t="str">
        <f t="shared" si="3"/>
        <v>Actiflo™</v>
      </c>
      <c r="D21" s="270" t="str">
        <f t="shared" si="4"/>
        <v>Replace the five solids pumps (installed and standby) on the existing Actiflo basins</v>
      </c>
      <c r="E21" s="133">
        <f t="shared" si="5"/>
        <v>640000</v>
      </c>
      <c r="F21" s="134" t="str">
        <f t="shared" si="6"/>
        <v>No</v>
      </c>
      <c r="G21" s="130">
        <f t="shared" si="7"/>
        <v>704000</v>
      </c>
      <c r="H21" s="229">
        <f t="shared" si="1"/>
        <v>2036</v>
      </c>
      <c r="I21" s="131">
        <f t="shared" si="2"/>
        <v>1234468.2613662786</v>
      </c>
      <c r="J21" s="299"/>
      <c r="K21" s="135"/>
      <c r="M21" s="398"/>
      <c r="N21" s="399"/>
      <c r="O21" s="398"/>
      <c r="P21" s="400"/>
    </row>
    <row r="22" spans="1:16" ht="28.2" x14ac:dyDescent="0.3">
      <c r="A22" s="56">
        <v>22</v>
      </c>
      <c r="B22" s="128" t="str">
        <f t="shared" si="0"/>
        <v>Repair &amp; Replace</v>
      </c>
      <c r="C22" s="128" t="str">
        <f t="shared" si="3"/>
        <v>Actiflo™</v>
      </c>
      <c r="D22" s="270" t="str">
        <f t="shared" si="4"/>
        <v>Replace the six mixers installed in the two existing Actiflo Basins</v>
      </c>
      <c r="E22" s="133">
        <f t="shared" si="5"/>
        <v>302400</v>
      </c>
      <c r="F22" s="134" t="str">
        <f t="shared" si="6"/>
        <v>No</v>
      </c>
      <c r="G22" s="130">
        <f t="shared" si="7"/>
        <v>332640</v>
      </c>
      <c r="H22" s="229">
        <f t="shared" si="1"/>
        <v>2036</v>
      </c>
      <c r="I22" s="131">
        <f t="shared" si="2"/>
        <v>583286.25349556666</v>
      </c>
      <c r="J22" s="299"/>
      <c r="K22" s="135"/>
      <c r="L22" s="135"/>
      <c r="M22" s="398"/>
      <c r="N22" s="399"/>
      <c r="O22" s="398"/>
      <c r="P22" s="400"/>
    </row>
    <row r="23" spans="1:16" ht="28.2" x14ac:dyDescent="0.3">
      <c r="A23" s="56">
        <v>23</v>
      </c>
      <c r="B23" s="128" t="str">
        <f t="shared" si="0"/>
        <v>Repair &amp; Replace</v>
      </c>
      <c r="C23" s="128" t="str">
        <f t="shared" si="3"/>
        <v>Actiflo™</v>
      </c>
      <c r="D23" s="270" t="str">
        <f t="shared" si="4"/>
        <v>Replace the four hydrocyclones installed in the two existing Actiflo Basins</v>
      </c>
      <c r="E23" s="133">
        <f t="shared" si="5"/>
        <v>369000</v>
      </c>
      <c r="F23" s="134" t="str">
        <f t="shared" si="6"/>
        <v>No</v>
      </c>
      <c r="G23" s="130">
        <f t="shared" si="7"/>
        <v>405900.00000000006</v>
      </c>
      <c r="H23" s="229">
        <f t="shared" si="1"/>
        <v>2036</v>
      </c>
      <c r="I23" s="131">
        <f t="shared" si="2"/>
        <v>711748.10694399511</v>
      </c>
      <c r="J23" s="299"/>
      <c r="K23" s="135"/>
      <c r="M23" s="398"/>
      <c r="N23" s="399"/>
      <c r="O23" s="398"/>
      <c r="P23" s="400"/>
    </row>
    <row r="24" spans="1:16" ht="42" x14ac:dyDescent="0.3">
      <c r="A24" s="56">
        <v>38</v>
      </c>
      <c r="B24" s="128" t="str">
        <f t="shared" si="0"/>
        <v>Repair &amp; Replace</v>
      </c>
      <c r="C24" s="128" t="str">
        <f t="shared" si="3"/>
        <v>Chemical Storage/ Ozone Generation</v>
      </c>
      <c r="D24" s="270" t="str">
        <f t="shared" si="4"/>
        <v>Upgrade vendor PLC components in the existing dry polymer blending unit</v>
      </c>
      <c r="E24" s="133">
        <f t="shared" si="5"/>
        <v>22060</v>
      </c>
      <c r="F24" s="134" t="str">
        <f t="shared" si="6"/>
        <v>No</v>
      </c>
      <c r="G24" s="130">
        <f t="shared" si="7"/>
        <v>24266.000000000004</v>
      </c>
      <c r="H24" s="229">
        <f t="shared" si="1"/>
        <v>2022</v>
      </c>
      <c r="I24" s="131">
        <f t="shared" si="2"/>
        <v>28130.944686963801</v>
      </c>
      <c r="J24" s="299"/>
      <c r="K24" s="135"/>
      <c r="M24" s="398"/>
      <c r="N24" s="399"/>
      <c r="O24" s="398"/>
      <c r="P24" s="400"/>
    </row>
    <row r="25" spans="1:16" ht="42" x14ac:dyDescent="0.3">
      <c r="A25" s="56">
        <v>40</v>
      </c>
      <c r="B25" s="128" t="str">
        <f t="shared" si="0"/>
        <v>Repair &amp; Replace</v>
      </c>
      <c r="C25" s="128" t="str">
        <f t="shared" si="3"/>
        <v>Chemical Storage/ Ozone Generation</v>
      </c>
      <c r="D25" s="270" t="str">
        <f t="shared" si="4"/>
        <v>Replate two existing 300 PPD ozone generators with 400 PPD units</v>
      </c>
      <c r="E25" s="133">
        <f t="shared" si="5"/>
        <v>1752000</v>
      </c>
      <c r="F25" s="134" t="str">
        <f t="shared" si="6"/>
        <v>No</v>
      </c>
      <c r="G25" s="130">
        <f t="shared" si="7"/>
        <v>1927200.0000000002</v>
      </c>
      <c r="H25" s="229">
        <f t="shared" si="1"/>
        <v>2022</v>
      </c>
      <c r="I25" s="131">
        <f t="shared" si="2"/>
        <v>2234152.9959909599</v>
      </c>
      <c r="J25" s="299"/>
      <c r="K25" s="135"/>
      <c r="L25" s="135"/>
      <c r="M25" s="398"/>
      <c r="N25" s="399"/>
      <c r="O25" s="398"/>
      <c r="P25" s="400"/>
    </row>
    <row r="26" spans="1:16" ht="42" x14ac:dyDescent="0.3">
      <c r="A26" s="56">
        <v>42</v>
      </c>
      <c r="B26" s="128" t="str">
        <f t="shared" si="0"/>
        <v>Repair &amp; Replace</v>
      </c>
      <c r="C26" s="128" t="str">
        <f t="shared" si="3"/>
        <v>Chemical Storage/ Ozone Generation</v>
      </c>
      <c r="D26" s="270" t="str">
        <f t="shared" si="4"/>
        <v>Inspect existing alum tank and repair as needed</v>
      </c>
      <c r="E26" s="133">
        <f t="shared" si="5"/>
        <v>52500</v>
      </c>
      <c r="F26" s="134" t="str">
        <f t="shared" si="6"/>
        <v>No</v>
      </c>
      <c r="G26" s="130">
        <f t="shared" si="7"/>
        <v>57750.000000000007</v>
      </c>
      <c r="H26" s="229">
        <f t="shared" si="1"/>
        <v>2022</v>
      </c>
      <c r="I26" s="131">
        <f t="shared" si="2"/>
        <v>66948.077790825002</v>
      </c>
      <c r="J26" s="299"/>
      <c r="K26" s="135"/>
      <c r="M26" s="398"/>
      <c r="N26" s="399"/>
      <c r="O26" s="398"/>
      <c r="P26" s="400"/>
    </row>
    <row r="27" spans="1:16" ht="42" x14ac:dyDescent="0.3">
      <c r="A27" s="56">
        <v>43</v>
      </c>
      <c r="B27" s="128" t="str">
        <f t="shared" si="0"/>
        <v>Repair &amp; Replace</v>
      </c>
      <c r="C27" s="128" t="str">
        <f t="shared" si="3"/>
        <v>Chemical Storage/ Ozone Generation</v>
      </c>
      <c r="D27" s="270" t="str">
        <f t="shared" si="4"/>
        <v>Inspect existing caustic soda tank and repair as needed</v>
      </c>
      <c r="E27" s="133">
        <f t="shared" si="5"/>
        <v>52500</v>
      </c>
      <c r="F27" s="134" t="str">
        <f t="shared" si="6"/>
        <v>No</v>
      </c>
      <c r="G27" s="130">
        <f t="shared" si="7"/>
        <v>57750.000000000007</v>
      </c>
      <c r="H27" s="229">
        <f t="shared" si="1"/>
        <v>2022</v>
      </c>
      <c r="I27" s="131">
        <f t="shared" si="2"/>
        <v>66948.077790825002</v>
      </c>
      <c r="J27" s="299"/>
      <c r="K27" s="135"/>
      <c r="M27" s="398"/>
      <c r="N27" s="399"/>
      <c r="O27" s="398"/>
      <c r="P27" s="400"/>
    </row>
    <row r="28" spans="1:16" ht="42" x14ac:dyDescent="0.3">
      <c r="A28" s="56">
        <v>44</v>
      </c>
      <c r="B28" s="128" t="str">
        <f t="shared" si="0"/>
        <v>Repair &amp; Replace</v>
      </c>
      <c r="C28" s="128" t="str">
        <f t="shared" si="3"/>
        <v>Chemical Storage/ Ozone Generation</v>
      </c>
      <c r="D28" s="270" t="str">
        <f t="shared" si="4"/>
        <v>Replace the LOX evaporator equipment</v>
      </c>
      <c r="E28" s="133">
        <f t="shared" si="5"/>
        <v>112500</v>
      </c>
      <c r="F28" s="134" t="str">
        <f t="shared" si="6"/>
        <v>No</v>
      </c>
      <c r="G28" s="130">
        <f t="shared" si="7"/>
        <v>123750.00000000001</v>
      </c>
      <c r="H28" s="229">
        <f t="shared" si="1"/>
        <v>2036</v>
      </c>
      <c r="I28" s="131">
        <f t="shared" si="2"/>
        <v>216996.37406829119</v>
      </c>
      <c r="J28" s="299"/>
      <c r="K28" s="135"/>
      <c r="L28" s="135"/>
      <c r="M28" s="398"/>
      <c r="N28" s="399"/>
      <c r="O28" s="398"/>
      <c r="P28" s="400"/>
    </row>
    <row r="29" spans="1:16" ht="28.2" x14ac:dyDescent="0.3">
      <c r="A29" s="56">
        <v>68</v>
      </c>
      <c r="B29" s="128" t="str">
        <f t="shared" si="0"/>
        <v>Repair &amp; Replace</v>
      </c>
      <c r="C29" s="128" t="str">
        <f t="shared" si="3"/>
        <v>Filters</v>
      </c>
      <c r="D29" s="270" t="str">
        <f t="shared" si="4"/>
        <v>Replace existing air scour blowers and motors on existing media filtration system</v>
      </c>
      <c r="E29" s="133">
        <f t="shared" si="5"/>
        <v>351000</v>
      </c>
      <c r="F29" s="134" t="str">
        <f t="shared" si="6"/>
        <v>No</v>
      </c>
      <c r="G29" s="130">
        <f t="shared" si="7"/>
        <v>386100.00000000006</v>
      </c>
      <c r="H29" s="229">
        <f t="shared" si="1"/>
        <v>2022</v>
      </c>
      <c r="I29" s="131">
        <f t="shared" si="2"/>
        <v>447595.72008723003</v>
      </c>
      <c r="J29" s="299"/>
      <c r="K29" s="135"/>
      <c r="M29" s="398"/>
      <c r="N29" s="399"/>
      <c r="O29" s="398"/>
      <c r="P29" s="400"/>
    </row>
    <row r="30" spans="1:16" ht="28.2" x14ac:dyDescent="0.3">
      <c r="A30" s="56">
        <v>73</v>
      </c>
      <c r="B30" s="128" t="str">
        <f t="shared" si="0"/>
        <v>Repair &amp; Replace</v>
      </c>
      <c r="C30" s="128" t="str">
        <f t="shared" si="3"/>
        <v>Filters</v>
      </c>
      <c r="D30" s="270" t="str">
        <f t="shared" si="4"/>
        <v>Replace aging MCC in existing filter gallery</v>
      </c>
      <c r="E30" s="133">
        <f t="shared" si="5"/>
        <v>70000</v>
      </c>
      <c r="F30" s="134" t="str">
        <f t="shared" si="6"/>
        <v>No</v>
      </c>
      <c r="G30" s="130">
        <f t="shared" si="7"/>
        <v>77000</v>
      </c>
      <c r="H30" s="229">
        <f t="shared" si="1"/>
        <v>2036</v>
      </c>
      <c r="I30" s="131">
        <f t="shared" si="2"/>
        <v>135019.96608693671</v>
      </c>
      <c r="J30" s="299"/>
      <c r="K30" s="135"/>
      <c r="M30" s="398"/>
      <c r="N30" s="399"/>
      <c r="O30" s="398"/>
      <c r="P30" s="400"/>
    </row>
    <row r="31" spans="1:16" ht="28.2" x14ac:dyDescent="0.3">
      <c r="A31" s="56">
        <v>74</v>
      </c>
      <c r="B31" s="128" t="str">
        <f t="shared" si="0"/>
        <v>Repair &amp; Replace</v>
      </c>
      <c r="C31" s="128" t="str">
        <f t="shared" si="3"/>
        <v>Filters</v>
      </c>
      <c r="D31" s="270" t="str">
        <f t="shared" si="4"/>
        <v>Replace air scour blowers and motors on existing media filtration system</v>
      </c>
      <c r="E31" s="133">
        <f t="shared" si="5"/>
        <v>402000</v>
      </c>
      <c r="F31" s="134" t="str">
        <f t="shared" si="6"/>
        <v>No</v>
      </c>
      <c r="G31" s="130">
        <f t="shared" si="7"/>
        <v>442200.00000000006</v>
      </c>
      <c r="H31" s="229">
        <f t="shared" si="1"/>
        <v>2036</v>
      </c>
      <c r="I31" s="131">
        <f t="shared" si="2"/>
        <v>775400.37667069386</v>
      </c>
      <c r="J31" s="299"/>
      <c r="K31" s="135"/>
      <c r="L31" s="135"/>
      <c r="M31" s="398"/>
      <c r="N31" s="399"/>
      <c r="O31" s="398"/>
      <c r="P31" s="400"/>
    </row>
    <row r="32" spans="1:16" ht="28.2" x14ac:dyDescent="0.3">
      <c r="A32" s="56">
        <v>83</v>
      </c>
      <c r="B32" s="128" t="str">
        <f t="shared" si="0"/>
        <v>Repair &amp; Replace</v>
      </c>
      <c r="C32" s="128" t="str">
        <f t="shared" si="3"/>
        <v>Finished Water Pump Station</v>
      </c>
      <c r="D32" s="270" t="str">
        <f t="shared" si="4"/>
        <v>Replace VFDs on three Finished Water Pumps</v>
      </c>
      <c r="E32" s="133">
        <f t="shared" si="5"/>
        <v>596336</v>
      </c>
      <c r="F32" s="134" t="str">
        <f t="shared" si="6"/>
        <v>No</v>
      </c>
      <c r="G32" s="130">
        <f t="shared" si="7"/>
        <v>655969.60000000009</v>
      </c>
      <c r="H32" s="229">
        <f t="shared" si="1"/>
        <v>2019</v>
      </c>
      <c r="I32" s="131">
        <f t="shared" si="2"/>
        <v>695918.14864000003</v>
      </c>
      <c r="J32" s="299"/>
      <c r="K32" s="135"/>
      <c r="M32" s="398"/>
      <c r="N32" s="399"/>
      <c r="O32" s="398"/>
      <c r="P32" s="400"/>
    </row>
    <row r="33" spans="1:16" ht="28.2" x14ac:dyDescent="0.3">
      <c r="A33" s="56">
        <v>84</v>
      </c>
      <c r="B33" s="128" t="str">
        <f t="shared" si="0"/>
        <v>Repair &amp; Replace</v>
      </c>
      <c r="C33" s="128" t="str">
        <f t="shared" si="3"/>
        <v>Finished Water Pump Station</v>
      </c>
      <c r="D33" s="270" t="str">
        <f t="shared" si="4"/>
        <v>Replace existing soft-start controller on High Service Pump 3</v>
      </c>
      <c r="E33" s="133">
        <f t="shared" si="5"/>
        <v>84000</v>
      </c>
      <c r="F33" s="134" t="str">
        <f t="shared" si="6"/>
        <v>No</v>
      </c>
      <c r="G33" s="130">
        <f t="shared" si="7"/>
        <v>92400.000000000015</v>
      </c>
      <c r="H33" s="229">
        <f t="shared" si="1"/>
        <v>2027</v>
      </c>
      <c r="I33" s="131">
        <f t="shared" si="2"/>
        <v>124177.87345139687</v>
      </c>
      <c r="J33" s="299"/>
      <c r="K33" s="135"/>
      <c r="M33" s="398"/>
      <c r="N33" s="399"/>
      <c r="O33" s="398"/>
      <c r="P33" s="400"/>
    </row>
    <row r="34" spans="1:16" ht="28.2" x14ac:dyDescent="0.3">
      <c r="A34" s="56">
        <v>85</v>
      </c>
      <c r="B34" s="128" t="str">
        <f t="shared" si="0"/>
        <v>Repair &amp; Replace</v>
      </c>
      <c r="C34" s="128" t="str">
        <f t="shared" si="3"/>
        <v>Finished Water Pump Station</v>
      </c>
      <c r="D34" s="270" t="str">
        <f t="shared" si="4"/>
        <v>Replace two existing backwash supply pumps in the Wastewater Equalization Basin</v>
      </c>
      <c r="E34" s="133">
        <f t="shared" si="5"/>
        <v>1980000</v>
      </c>
      <c r="F34" s="134" t="str">
        <f t="shared" si="6"/>
        <v>No</v>
      </c>
      <c r="G34" s="130">
        <f t="shared" si="7"/>
        <v>2178000</v>
      </c>
      <c r="H34" s="229">
        <f t="shared" si="1"/>
        <v>2032</v>
      </c>
      <c r="I34" s="131">
        <f t="shared" si="2"/>
        <v>3393253.0333564649</v>
      </c>
      <c r="J34" s="303"/>
      <c r="K34" s="135"/>
      <c r="M34" s="398"/>
      <c r="N34" s="399"/>
      <c r="O34" s="398"/>
      <c r="P34" s="400"/>
    </row>
    <row r="35" spans="1:16" ht="28.2" x14ac:dyDescent="0.3">
      <c r="A35" s="56">
        <v>92</v>
      </c>
      <c r="B35" s="128" t="str">
        <f t="shared" si="0"/>
        <v>Repair &amp; Replace</v>
      </c>
      <c r="C35" s="128" t="str">
        <f t="shared" si="3"/>
        <v>Miscellaneous</v>
      </c>
      <c r="D35" s="270" t="str">
        <f t="shared" si="4"/>
        <v>Replace the existing safety and warning signs throughout the site</v>
      </c>
      <c r="E35" s="133">
        <f t="shared" si="5"/>
        <v>15000</v>
      </c>
      <c r="F35" s="134" t="str">
        <f t="shared" si="6"/>
        <v>No</v>
      </c>
      <c r="G35" s="130">
        <f t="shared" si="7"/>
        <v>16500</v>
      </c>
      <c r="H35" s="229">
        <f t="shared" si="1"/>
        <v>2022</v>
      </c>
      <c r="I35" s="131">
        <f t="shared" si="2"/>
        <v>19128.022225949997</v>
      </c>
      <c r="J35" s="299"/>
      <c r="K35" s="135"/>
      <c r="M35" s="398"/>
      <c r="N35" s="399"/>
      <c r="O35" s="398"/>
      <c r="P35" s="400"/>
    </row>
    <row r="36" spans="1:16" ht="28.2" x14ac:dyDescent="0.3">
      <c r="A36" s="56">
        <v>93</v>
      </c>
      <c r="B36" s="128" t="str">
        <f t="shared" si="0"/>
        <v>Repair &amp; Replace</v>
      </c>
      <c r="C36" s="128" t="str">
        <f t="shared" si="3"/>
        <v>Miscellaneous</v>
      </c>
      <c r="D36" s="270" t="str">
        <f t="shared" si="4"/>
        <v>Annual maintenance on the existing site fire alarm</v>
      </c>
      <c r="E36" s="133">
        <f t="shared" si="5"/>
        <v>7000</v>
      </c>
      <c r="F36" s="134" t="str">
        <f t="shared" si="6"/>
        <v>No</v>
      </c>
      <c r="G36" s="130">
        <f t="shared" si="7"/>
        <v>7700.0000000000009</v>
      </c>
      <c r="H36" s="229">
        <f t="shared" si="1"/>
        <v>2020</v>
      </c>
      <c r="I36" s="131">
        <f t="shared" si="2"/>
        <v>8413.9979000000003</v>
      </c>
      <c r="J36" s="299"/>
      <c r="K36" s="135"/>
      <c r="M36" s="398"/>
      <c r="N36" s="399"/>
      <c r="O36" s="398"/>
      <c r="P36" s="400"/>
    </row>
    <row r="37" spans="1:16" ht="28.2" x14ac:dyDescent="0.3">
      <c r="A37" s="56">
        <v>94</v>
      </c>
      <c r="B37" s="128" t="str">
        <f t="shared" si="0"/>
        <v>Repair &amp; Replace</v>
      </c>
      <c r="C37" s="128" t="str">
        <f t="shared" si="3"/>
        <v>Miscellaneous</v>
      </c>
      <c r="D37" s="270" t="str">
        <f t="shared" si="4"/>
        <v>Annual maintenance on the existing site sprinkler system</v>
      </c>
      <c r="E37" s="133">
        <f t="shared" si="5"/>
        <v>4375</v>
      </c>
      <c r="F37" s="134" t="str">
        <f t="shared" si="6"/>
        <v>No</v>
      </c>
      <c r="G37" s="130">
        <f t="shared" si="7"/>
        <v>4812.5</v>
      </c>
      <c r="H37" s="229">
        <f t="shared" si="1"/>
        <v>2020</v>
      </c>
      <c r="I37" s="131">
        <f t="shared" si="2"/>
        <v>5258.7486875000004</v>
      </c>
      <c r="J37" s="299"/>
      <c r="K37" s="135"/>
      <c r="M37" s="398"/>
      <c r="N37" s="399"/>
      <c r="O37" s="398"/>
      <c r="P37" s="400"/>
    </row>
    <row r="38" spans="1:16" ht="28.2" x14ac:dyDescent="0.3">
      <c r="A38" s="56">
        <v>95</v>
      </c>
      <c r="B38" s="128" t="str">
        <f t="shared" si="0"/>
        <v>Repair &amp; Replace</v>
      </c>
      <c r="C38" s="128" t="str">
        <f t="shared" si="3"/>
        <v>Miscellaneous</v>
      </c>
      <c r="D38" s="270" t="str">
        <f t="shared" si="4"/>
        <v>Upgrade site security monitoring system camera and computer</v>
      </c>
      <c r="E38" s="133">
        <f t="shared" si="5"/>
        <v>23500</v>
      </c>
      <c r="F38" s="134" t="str">
        <f t="shared" si="6"/>
        <v>No</v>
      </c>
      <c r="G38" s="130">
        <f t="shared" si="7"/>
        <v>25850.000000000004</v>
      </c>
      <c r="H38" s="229">
        <f t="shared" si="1"/>
        <v>2020</v>
      </c>
      <c r="I38" s="131">
        <f t="shared" si="2"/>
        <v>28246.992950000003</v>
      </c>
      <c r="J38" s="299"/>
      <c r="K38" s="135"/>
      <c r="M38" s="398"/>
      <c r="N38" s="399"/>
      <c r="O38" s="398"/>
      <c r="P38" s="400"/>
    </row>
    <row r="39" spans="1:16" ht="28.2" x14ac:dyDescent="0.3">
      <c r="A39" s="56">
        <v>96</v>
      </c>
      <c r="B39" s="128" t="str">
        <f t="shared" si="0"/>
        <v>Repair &amp; Replace</v>
      </c>
      <c r="C39" s="128" t="str">
        <f t="shared" si="3"/>
        <v>Miscellaneous</v>
      </c>
      <c r="D39" s="270" t="str">
        <f t="shared" si="4"/>
        <v>Replace sitewide fire extinguishers</v>
      </c>
      <c r="E39" s="133">
        <f t="shared" si="5"/>
        <v>15000</v>
      </c>
      <c r="F39" s="134" t="str">
        <f t="shared" si="6"/>
        <v>No</v>
      </c>
      <c r="G39" s="130">
        <f t="shared" si="7"/>
        <v>16500</v>
      </c>
      <c r="H39" s="229">
        <f t="shared" si="1"/>
        <v>2022</v>
      </c>
      <c r="I39" s="131">
        <f t="shared" si="2"/>
        <v>19128.022225949997</v>
      </c>
      <c r="J39" s="299"/>
      <c r="K39" s="135"/>
      <c r="M39" s="398"/>
      <c r="N39" s="399"/>
      <c r="O39" s="398"/>
      <c r="P39" s="400"/>
    </row>
    <row r="40" spans="1:16" ht="28.2" x14ac:dyDescent="0.3">
      <c r="A40" s="56">
        <v>97</v>
      </c>
      <c r="B40" s="128" t="str">
        <f t="shared" si="0"/>
        <v>Repair &amp; Replace</v>
      </c>
      <c r="C40" s="128" t="str">
        <f t="shared" si="3"/>
        <v>Miscellaneous</v>
      </c>
      <c r="D40" s="270" t="str">
        <f t="shared" si="4"/>
        <v>Replace the two existing irrigation waste pumps (T-30P01/2)</v>
      </c>
      <c r="E40" s="133">
        <f t="shared" si="5"/>
        <v>340000</v>
      </c>
      <c r="F40" s="134" t="str">
        <f t="shared" si="6"/>
        <v>No</v>
      </c>
      <c r="G40" s="130">
        <f t="shared" si="7"/>
        <v>374000.00000000006</v>
      </c>
      <c r="H40" s="229">
        <f t="shared" si="1"/>
        <v>2022</v>
      </c>
      <c r="I40" s="131">
        <f t="shared" si="2"/>
        <v>433568.50378820003</v>
      </c>
      <c r="J40" s="299"/>
      <c r="K40" s="135"/>
      <c r="M40" s="398"/>
      <c r="N40" s="399"/>
      <c r="O40" s="398"/>
      <c r="P40" s="400"/>
    </row>
    <row r="41" spans="1:16" ht="28.2" x14ac:dyDescent="0.3">
      <c r="A41" s="56">
        <v>98</v>
      </c>
      <c r="B41" s="128" t="str">
        <f t="shared" si="0"/>
        <v>Repair &amp; Replace</v>
      </c>
      <c r="C41" s="128" t="str">
        <f t="shared" si="3"/>
        <v>Miscellaneous</v>
      </c>
      <c r="D41" s="270" t="str">
        <f t="shared" si="4"/>
        <v>Replace the two existing water feature pumps (T-30P01/2)</v>
      </c>
      <c r="E41" s="133">
        <f t="shared" si="5"/>
        <v>340000</v>
      </c>
      <c r="F41" s="134" t="str">
        <f t="shared" si="6"/>
        <v>No</v>
      </c>
      <c r="G41" s="130">
        <f t="shared" si="7"/>
        <v>374000.00000000006</v>
      </c>
      <c r="H41" s="229">
        <f t="shared" si="1"/>
        <v>2027</v>
      </c>
      <c r="I41" s="131">
        <f t="shared" si="2"/>
        <v>502624.72587470163</v>
      </c>
      <c r="J41" s="299"/>
      <c r="K41" s="135"/>
      <c r="M41" s="398"/>
      <c r="N41" s="399"/>
      <c r="O41" s="398"/>
      <c r="P41" s="400"/>
    </row>
    <row r="42" spans="1:16" ht="28.2" x14ac:dyDescent="0.3">
      <c r="A42" s="56">
        <v>109</v>
      </c>
      <c r="B42" s="128" t="str">
        <f t="shared" si="0"/>
        <v>Repair &amp; Replace</v>
      </c>
      <c r="C42" s="128" t="str">
        <f t="shared" si="3"/>
        <v>Raw Water Pump Station</v>
      </c>
      <c r="D42" s="270" t="str">
        <f t="shared" si="4"/>
        <v>Replace existing raw water sump pump</v>
      </c>
      <c r="E42" s="133">
        <f t="shared" si="5"/>
        <v>100000</v>
      </c>
      <c r="F42" s="134" t="str">
        <f t="shared" si="6"/>
        <v>No</v>
      </c>
      <c r="G42" s="130">
        <f t="shared" si="7"/>
        <v>110000.00000000001</v>
      </c>
      <c r="H42" s="229">
        <f t="shared" si="1"/>
        <v>2020</v>
      </c>
      <c r="I42" s="131">
        <f t="shared" si="2"/>
        <v>120199.97000000002</v>
      </c>
      <c r="J42" s="299"/>
      <c r="K42" s="135"/>
      <c r="M42" s="398"/>
      <c r="N42" s="399"/>
      <c r="O42" s="398"/>
      <c r="P42" s="400"/>
    </row>
    <row r="43" spans="1:16" ht="28.2" x14ac:dyDescent="0.3">
      <c r="A43" s="56">
        <v>110</v>
      </c>
      <c r="B43" s="128" t="str">
        <f t="shared" si="0"/>
        <v>Repair &amp; Replace</v>
      </c>
      <c r="C43" s="128" t="str">
        <f t="shared" si="3"/>
        <v>Raw Water Pump Station</v>
      </c>
      <c r="D43" s="270" t="str">
        <f t="shared" si="4"/>
        <v>Replace osbsolete Robocon VFDs on three Raw Water Pumps</v>
      </c>
      <c r="E43" s="133">
        <f t="shared" si="5"/>
        <v>97375</v>
      </c>
      <c r="F43" s="134" t="str">
        <f t="shared" si="6"/>
        <v>No</v>
      </c>
      <c r="G43" s="130">
        <f t="shared" si="7"/>
        <v>107112.50000000001</v>
      </c>
      <c r="H43" s="229">
        <f t="shared" si="1"/>
        <v>2019</v>
      </c>
      <c r="I43" s="131">
        <f t="shared" si="2"/>
        <v>113635.65125000001</v>
      </c>
      <c r="J43" s="299"/>
      <c r="K43" s="135"/>
      <c r="M43" s="398"/>
      <c r="N43" s="399"/>
      <c r="O43" s="398"/>
      <c r="P43" s="400"/>
    </row>
    <row r="44" spans="1:16" ht="28.2" x14ac:dyDescent="0.3">
      <c r="A44" s="56">
        <v>111</v>
      </c>
      <c r="B44" s="128" t="str">
        <f t="shared" ref="B44:B72" si="8">VLOOKUP($A44,CIP_Full,2,FALSE)</f>
        <v>Repair &amp; Replace</v>
      </c>
      <c r="C44" s="128" t="str">
        <f t="shared" si="3"/>
        <v>Raw Water Pump Station</v>
      </c>
      <c r="D44" s="270" t="str">
        <f t="shared" si="4"/>
        <v>Replace two existing Air Burst Compressors</v>
      </c>
      <c r="E44" s="133">
        <f t="shared" si="5"/>
        <v>395000</v>
      </c>
      <c r="F44" s="134" t="str">
        <f t="shared" si="6"/>
        <v>No</v>
      </c>
      <c r="G44" s="130">
        <f t="shared" si="7"/>
        <v>434500.00000000006</v>
      </c>
      <c r="H44" s="229">
        <f t="shared" ref="H44:H72" si="9">VLOOKUP($A44,CIP_Full,11,FALSE)</f>
        <v>2027</v>
      </c>
      <c r="I44" s="131">
        <f t="shared" ref="I44:I72" si="10">VLOOKUP($A44,CIP_Full,13,FALSE)</f>
        <v>583931.66682502104</v>
      </c>
      <c r="J44" s="299"/>
      <c r="K44" s="135"/>
      <c r="M44" s="398"/>
      <c r="N44" s="399"/>
      <c r="O44" s="398"/>
      <c r="P44" s="400"/>
    </row>
    <row r="45" spans="1:16" ht="28.2" x14ac:dyDescent="0.3">
      <c r="A45" s="56">
        <v>112</v>
      </c>
      <c r="B45" s="128" t="str">
        <f t="shared" si="8"/>
        <v>Repair &amp; Replace</v>
      </c>
      <c r="C45" s="128" t="str">
        <f t="shared" si="3"/>
        <v>Raw Water Pump Station</v>
      </c>
      <c r="D45" s="270" t="str">
        <f t="shared" si="4"/>
        <v>Replace existing air burst control panel PLC and local control panel</v>
      </c>
      <c r="E45" s="133">
        <f t="shared" si="5"/>
        <v>42375</v>
      </c>
      <c r="F45" s="134" t="str">
        <f t="shared" si="6"/>
        <v>No</v>
      </c>
      <c r="G45" s="130">
        <f t="shared" si="7"/>
        <v>46612.500000000007</v>
      </c>
      <c r="H45" s="229">
        <f t="shared" si="9"/>
        <v>2027</v>
      </c>
      <c r="I45" s="131">
        <f t="shared" si="10"/>
        <v>62643.302232177884</v>
      </c>
      <c r="J45" s="299"/>
      <c r="K45" s="135"/>
      <c r="M45" s="398"/>
      <c r="N45" s="399"/>
      <c r="O45" s="398"/>
      <c r="P45" s="400"/>
    </row>
    <row r="46" spans="1:16" ht="28.2" x14ac:dyDescent="0.3">
      <c r="A46" s="56">
        <v>113</v>
      </c>
      <c r="B46" s="128" t="str">
        <f t="shared" si="8"/>
        <v>Repair &amp; Replace</v>
      </c>
      <c r="C46" s="128" t="str">
        <f t="shared" si="3"/>
        <v>Raw Water Pump Station</v>
      </c>
      <c r="D46" s="270" t="str">
        <f t="shared" si="4"/>
        <v>Replace the existing constant-speed 7.5 MGD pump with a VFD-controlled pump</v>
      </c>
      <c r="E46" s="133">
        <f t="shared" si="5"/>
        <v>682500</v>
      </c>
      <c r="F46" s="134" t="str">
        <f t="shared" si="6"/>
        <v>No</v>
      </c>
      <c r="G46" s="130">
        <f t="shared" si="7"/>
        <v>750750.00000000012</v>
      </c>
      <c r="H46" s="229">
        <f t="shared" si="9"/>
        <v>2036</v>
      </c>
      <c r="I46" s="131">
        <f t="shared" si="10"/>
        <v>1316444.6693476331</v>
      </c>
      <c r="J46" s="299"/>
      <c r="K46" s="135"/>
      <c r="M46" s="398"/>
      <c r="N46" s="399"/>
      <c r="O46" s="398"/>
      <c r="P46" s="400"/>
    </row>
    <row r="47" spans="1:16" ht="28.2" x14ac:dyDescent="0.3">
      <c r="A47" s="56">
        <v>117</v>
      </c>
      <c r="B47" s="128" t="str">
        <f t="shared" si="8"/>
        <v>Repair &amp; Replace</v>
      </c>
      <c r="C47" s="128" t="str">
        <f t="shared" si="3"/>
        <v>Sitewide</v>
      </c>
      <c r="D47" s="270" t="str">
        <f t="shared" si="4"/>
        <v>Replace obsolete ABB magnetic flow meters installed throughout the WRWTP and at Wilsonville Road</v>
      </c>
      <c r="E47" s="133">
        <f t="shared" si="5"/>
        <v>662400</v>
      </c>
      <c r="F47" s="134" t="str">
        <f t="shared" si="6"/>
        <v>No</v>
      </c>
      <c r="G47" s="130">
        <f t="shared" si="7"/>
        <v>728640.00000000012</v>
      </c>
      <c r="H47" s="229">
        <f t="shared" si="9"/>
        <v>2019</v>
      </c>
      <c r="I47" s="131">
        <f t="shared" si="10"/>
        <v>773014.17600000009</v>
      </c>
      <c r="J47" s="299"/>
      <c r="K47" s="135"/>
      <c r="M47" s="398"/>
      <c r="N47" s="399"/>
      <c r="O47" s="398"/>
      <c r="P47" s="400"/>
    </row>
    <row r="48" spans="1:16" ht="28.2" x14ac:dyDescent="0.3">
      <c r="A48" s="56">
        <v>120</v>
      </c>
      <c r="B48" s="128" t="str">
        <f t="shared" si="8"/>
        <v>Repair &amp; Replace</v>
      </c>
      <c r="C48" s="128" t="str">
        <f t="shared" ref="C48:C72" si="11">VLOOKUP($A48,CIP_Full,3,FALSE)</f>
        <v>Solids - Dewatering</v>
      </c>
      <c r="D48" s="270" t="str">
        <f t="shared" ref="D48:D72" si="12">VLOOKUP($A48,CIP_Full,4,FALSE)</f>
        <v>Replace the existing dewatered sludge screw conveyor in the Solids Handling Building</v>
      </c>
      <c r="E48" s="133">
        <f t="shared" ref="E48:E72" si="13">VLOOKUP($A48,CIP_Full,5,FALSE)</f>
        <v>87000</v>
      </c>
      <c r="F48" s="134" t="str">
        <f t="shared" ref="F48:F72" si="14">VLOOKUP($A48,CIP_Full,6,FALSE)</f>
        <v>No</v>
      </c>
      <c r="G48" s="130">
        <f t="shared" ref="G48:G72" si="15">VLOOKUP($A48,CIP_Full,10,FALSE)</f>
        <v>95700.000000000015</v>
      </c>
      <c r="H48" s="229">
        <f t="shared" si="9"/>
        <v>2022</v>
      </c>
      <c r="I48" s="131">
        <f t="shared" si="10"/>
        <v>110942.52891051001</v>
      </c>
      <c r="J48" s="299"/>
      <c r="K48" s="135"/>
      <c r="M48" s="398"/>
      <c r="N48" s="399"/>
      <c r="O48" s="398"/>
      <c r="P48" s="400"/>
    </row>
    <row r="49" spans="1:16" ht="28.2" x14ac:dyDescent="0.3">
      <c r="A49" s="56">
        <v>121</v>
      </c>
      <c r="B49" s="128" t="str">
        <f t="shared" si="8"/>
        <v>Repair &amp; Replace</v>
      </c>
      <c r="C49" s="128" t="str">
        <f t="shared" si="11"/>
        <v>Solids - Dewatering</v>
      </c>
      <c r="D49" s="270" t="str">
        <f t="shared" si="12"/>
        <v>Replace two existing 60 GPM centrifuges and transfer pumps</v>
      </c>
      <c r="E49" s="133">
        <f t="shared" si="13"/>
        <v>3500000</v>
      </c>
      <c r="F49" s="134" t="str">
        <f t="shared" si="14"/>
        <v>No</v>
      </c>
      <c r="G49" s="130">
        <f t="shared" si="15"/>
        <v>3850000.0000000005</v>
      </c>
      <c r="H49" s="229">
        <f t="shared" si="9"/>
        <v>2027</v>
      </c>
      <c r="I49" s="131">
        <f t="shared" si="10"/>
        <v>5174078.0604748698</v>
      </c>
      <c r="J49" s="299"/>
      <c r="K49" s="135"/>
      <c r="M49" s="398"/>
      <c r="N49" s="399"/>
      <c r="O49" s="398"/>
      <c r="P49" s="400"/>
    </row>
    <row r="50" spans="1:16" ht="28.2" x14ac:dyDescent="0.3">
      <c r="A50" s="56">
        <v>122</v>
      </c>
      <c r="B50" s="128" t="str">
        <f t="shared" si="8"/>
        <v>Repair &amp; Replace</v>
      </c>
      <c r="C50" s="128" t="str">
        <f t="shared" si="11"/>
        <v>Solids - Dewatering</v>
      </c>
      <c r="D50" s="270" t="str">
        <f t="shared" si="12"/>
        <v>Replace existing PLC and local control panel for two dewatering centrifuges</v>
      </c>
      <c r="E50" s="133">
        <f t="shared" si="13"/>
        <v>84000</v>
      </c>
      <c r="F50" s="134" t="str">
        <f t="shared" si="14"/>
        <v>No</v>
      </c>
      <c r="G50" s="130">
        <f t="shared" si="15"/>
        <v>92400.000000000015</v>
      </c>
      <c r="H50" s="229">
        <f t="shared" si="9"/>
        <v>2027</v>
      </c>
      <c r="I50" s="131">
        <f t="shared" si="10"/>
        <v>124177.87345139687</v>
      </c>
      <c r="J50" s="299"/>
      <c r="K50" s="135"/>
      <c r="M50" s="398"/>
      <c r="N50" s="399"/>
      <c r="O50" s="398"/>
      <c r="P50" s="400"/>
    </row>
    <row r="51" spans="1:16" ht="28.2" x14ac:dyDescent="0.3">
      <c r="A51" s="56">
        <v>123</v>
      </c>
      <c r="B51" s="128" t="str">
        <f t="shared" si="8"/>
        <v>Repair &amp; Replace</v>
      </c>
      <c r="C51" s="128" t="str">
        <f t="shared" si="11"/>
        <v>Solids - Dewatering</v>
      </c>
      <c r="D51" s="270" t="str">
        <f t="shared" si="12"/>
        <v xml:space="preserve">Replace two existing 60 GPM solids transfer pumps </v>
      </c>
      <c r="E51" s="133">
        <f t="shared" si="13"/>
        <v>316059</v>
      </c>
      <c r="F51" s="134" t="str">
        <f t="shared" si="14"/>
        <v>No</v>
      </c>
      <c r="G51" s="130">
        <f t="shared" si="15"/>
        <v>347664.9</v>
      </c>
      <c r="H51" s="229">
        <f t="shared" si="9"/>
        <v>2036</v>
      </c>
      <c r="I51" s="131">
        <f t="shared" si="10"/>
        <v>609632.50659244484</v>
      </c>
      <c r="J51" s="299"/>
      <c r="K51" s="135"/>
      <c r="M51" s="398"/>
      <c r="N51" s="399"/>
      <c r="O51" s="398"/>
      <c r="P51" s="400"/>
    </row>
    <row r="52" spans="1:16" ht="28.2" x14ac:dyDescent="0.3">
      <c r="A52" s="56">
        <v>129</v>
      </c>
      <c r="B52" s="128" t="str">
        <f t="shared" si="8"/>
        <v>Repair &amp; Replace</v>
      </c>
      <c r="C52" s="128" t="str">
        <f t="shared" si="11"/>
        <v>Solids - Gravity Thickener</v>
      </c>
      <c r="D52" s="270" t="str">
        <f t="shared" si="12"/>
        <v>Replace two existing sludge mixing pumps (one installed, one shelf spare)</v>
      </c>
      <c r="E52" s="133">
        <f t="shared" si="13"/>
        <v>260000</v>
      </c>
      <c r="F52" s="134" t="str">
        <f t="shared" si="14"/>
        <v>No</v>
      </c>
      <c r="G52" s="130">
        <f t="shared" si="15"/>
        <v>286000</v>
      </c>
      <c r="H52" s="229">
        <f t="shared" si="9"/>
        <v>2020</v>
      </c>
      <c r="I52" s="131">
        <f t="shared" si="10"/>
        <v>312519.92200000002</v>
      </c>
      <c r="J52" s="299"/>
      <c r="K52" s="135"/>
      <c r="M52" s="398"/>
      <c r="N52" s="399"/>
      <c r="O52" s="398"/>
      <c r="P52" s="400"/>
    </row>
    <row r="53" spans="1:16" ht="28.2" x14ac:dyDescent="0.3">
      <c r="A53" s="56">
        <v>130</v>
      </c>
      <c r="B53" s="128" t="str">
        <f t="shared" si="8"/>
        <v>Repair &amp; Replace</v>
      </c>
      <c r="C53" s="128" t="str">
        <f t="shared" si="11"/>
        <v>Solids - Gravity Thickener</v>
      </c>
      <c r="D53" s="270" t="str">
        <f t="shared" si="12"/>
        <v>Replace the two existing sludge mixing pumps</v>
      </c>
      <c r="E53" s="133">
        <f t="shared" si="13"/>
        <v>260000</v>
      </c>
      <c r="F53" s="134" t="str">
        <f t="shared" si="14"/>
        <v>No</v>
      </c>
      <c r="G53" s="130">
        <f t="shared" si="15"/>
        <v>286000</v>
      </c>
      <c r="H53" s="229">
        <f>VLOOKUP($A53,CIP_Full,11,FALSE)</f>
        <v>2032</v>
      </c>
      <c r="I53" s="131">
        <f t="shared" si="10"/>
        <v>445578.68114781863</v>
      </c>
      <c r="J53" s="299"/>
      <c r="K53" s="135"/>
      <c r="M53" s="398"/>
      <c r="N53" s="399"/>
      <c r="O53" s="398"/>
      <c r="P53" s="400"/>
    </row>
    <row r="54" spans="1:16" ht="28.2" x14ac:dyDescent="0.3">
      <c r="A54" s="56">
        <v>131</v>
      </c>
      <c r="B54" s="128" t="str">
        <f t="shared" si="8"/>
        <v>Repair &amp; Replace</v>
      </c>
      <c r="C54" s="128" t="str">
        <f t="shared" si="11"/>
        <v>Solids - Gravity Thickener</v>
      </c>
      <c r="D54" s="270" t="str">
        <f t="shared" si="12"/>
        <v>Replace the existing gravity thickener drive</v>
      </c>
      <c r="E54" s="133">
        <f t="shared" si="13"/>
        <v>114264</v>
      </c>
      <c r="F54" s="134" t="str">
        <f t="shared" si="14"/>
        <v>No</v>
      </c>
      <c r="G54" s="130">
        <f t="shared" si="15"/>
        <v>125690.40000000001</v>
      </c>
      <c r="H54" s="229">
        <f t="shared" si="9"/>
        <v>2036</v>
      </c>
      <c r="I54" s="131">
        <f t="shared" si="10"/>
        <v>220398.87721368199</v>
      </c>
      <c r="J54" s="299"/>
      <c r="K54" s="135"/>
      <c r="M54" s="398"/>
      <c r="N54" s="399"/>
      <c r="O54" s="398"/>
      <c r="P54" s="400"/>
    </row>
    <row r="55" spans="1:16" ht="28.2" x14ac:dyDescent="0.3">
      <c r="A55" s="56">
        <v>135</v>
      </c>
      <c r="B55" s="128" t="str">
        <f t="shared" si="8"/>
        <v>Repair &amp; Replace</v>
      </c>
      <c r="C55" s="128" t="str">
        <f t="shared" si="11"/>
        <v>WWEQ Basin</v>
      </c>
      <c r="D55" s="270" t="str">
        <f t="shared" si="12"/>
        <v xml:space="preserve">Replace three existing filter waste washwater recycle pumps </v>
      </c>
      <c r="E55" s="133">
        <f t="shared" si="13"/>
        <v>300000</v>
      </c>
      <c r="F55" s="134" t="str">
        <f t="shared" si="14"/>
        <v>No</v>
      </c>
      <c r="G55" s="130">
        <f t="shared" si="15"/>
        <v>330000</v>
      </c>
      <c r="H55" s="229">
        <f t="shared" si="9"/>
        <v>2020</v>
      </c>
      <c r="I55" s="131">
        <f t="shared" si="10"/>
        <v>360599.91</v>
      </c>
      <c r="J55" s="299"/>
      <c r="K55" s="135"/>
      <c r="M55" s="398"/>
      <c r="N55" s="399"/>
      <c r="O55" s="398"/>
      <c r="P55" s="400"/>
    </row>
    <row r="56" spans="1:16" ht="28.2" x14ac:dyDescent="0.3">
      <c r="A56" s="56">
        <v>137</v>
      </c>
      <c r="B56" s="128" t="str">
        <f t="shared" si="8"/>
        <v>Repair &amp; Replace</v>
      </c>
      <c r="C56" s="128" t="str">
        <f t="shared" si="11"/>
        <v>WWEQ Basin</v>
      </c>
      <c r="D56" s="270" t="str">
        <f t="shared" si="12"/>
        <v xml:space="preserve">Replace three existing filter waste washwater recycle pumps </v>
      </c>
      <c r="E56" s="133">
        <f t="shared" si="13"/>
        <v>43036</v>
      </c>
      <c r="F56" s="134" t="str">
        <f t="shared" si="14"/>
        <v>No</v>
      </c>
      <c r="G56" s="130">
        <f t="shared" si="15"/>
        <v>47339.600000000006</v>
      </c>
      <c r="H56" s="229">
        <f t="shared" si="9"/>
        <v>2036</v>
      </c>
      <c r="I56" s="131">
        <f t="shared" si="10"/>
        <v>83010.275150248708</v>
      </c>
      <c r="J56" s="299"/>
      <c r="K56" s="135"/>
      <c r="M56" s="398"/>
      <c r="N56" s="399"/>
      <c r="O56" s="398"/>
      <c r="P56" s="400"/>
    </row>
    <row r="57" spans="1:16" ht="28.2" x14ac:dyDescent="0.3">
      <c r="A57" s="56">
        <v>141</v>
      </c>
      <c r="B57" s="128" t="str">
        <f t="shared" si="8"/>
        <v>Repair &amp; Replace</v>
      </c>
      <c r="C57" s="128" t="str">
        <f t="shared" si="11"/>
        <v>Miscellaneous</v>
      </c>
      <c r="D57" s="270" t="str">
        <f t="shared" si="12"/>
        <v>Annual maintenance on the existing site fire alarm</v>
      </c>
      <c r="E57" s="133">
        <f t="shared" si="13"/>
        <v>7000</v>
      </c>
      <c r="F57" s="134" t="str">
        <f t="shared" si="14"/>
        <v>No</v>
      </c>
      <c r="G57" s="130">
        <f t="shared" si="15"/>
        <v>7700.0000000000009</v>
      </c>
      <c r="H57" s="229">
        <f t="shared" si="9"/>
        <v>2021</v>
      </c>
      <c r="I57" s="131">
        <f t="shared" si="10"/>
        <v>8666.4178370000009</v>
      </c>
      <c r="J57" s="299"/>
      <c r="K57" s="135"/>
      <c r="M57" s="398"/>
      <c r="N57" s="399"/>
      <c r="O57" s="398"/>
      <c r="P57" s="400"/>
    </row>
    <row r="58" spans="1:16" ht="28.2" x14ac:dyDescent="0.3">
      <c r="A58" s="56">
        <v>142</v>
      </c>
      <c r="B58" s="128" t="str">
        <f t="shared" si="8"/>
        <v>Repair &amp; Replace</v>
      </c>
      <c r="C58" s="128" t="str">
        <f t="shared" si="11"/>
        <v>Miscellaneous</v>
      </c>
      <c r="D58" s="270" t="str">
        <f t="shared" si="12"/>
        <v>Annual maintenance on the existing site sprinkler system</v>
      </c>
      <c r="E58" s="133">
        <f t="shared" si="13"/>
        <v>4375</v>
      </c>
      <c r="F58" s="134" t="str">
        <f t="shared" si="14"/>
        <v>No</v>
      </c>
      <c r="G58" s="130">
        <f t="shared" si="15"/>
        <v>4812.5</v>
      </c>
      <c r="H58" s="229">
        <f t="shared" si="9"/>
        <v>2021</v>
      </c>
      <c r="I58" s="131">
        <f t="shared" si="10"/>
        <v>5416.5111481249996</v>
      </c>
      <c r="J58" s="299"/>
      <c r="K58" s="135"/>
      <c r="M58" s="398"/>
      <c r="N58" s="399"/>
      <c r="O58" s="398"/>
      <c r="P58" s="400"/>
    </row>
    <row r="59" spans="1:16" ht="28.2" x14ac:dyDescent="0.3">
      <c r="A59" s="56">
        <v>143</v>
      </c>
      <c r="B59" s="128" t="str">
        <f t="shared" si="8"/>
        <v>Repair &amp; Replace</v>
      </c>
      <c r="C59" s="128" t="str">
        <f t="shared" si="11"/>
        <v>Miscellaneous</v>
      </c>
      <c r="D59" s="270" t="str">
        <f t="shared" si="12"/>
        <v>Annual maintenance on the existing site fire alarm</v>
      </c>
      <c r="E59" s="133">
        <f t="shared" si="13"/>
        <v>7000</v>
      </c>
      <c r="F59" s="134" t="str">
        <f t="shared" si="14"/>
        <v>No</v>
      </c>
      <c r="G59" s="130">
        <f t="shared" si="15"/>
        <v>7700.0000000000009</v>
      </c>
      <c r="H59" s="229">
        <f t="shared" si="9"/>
        <v>2022</v>
      </c>
      <c r="I59" s="131">
        <f t="shared" si="10"/>
        <v>8926.41037211</v>
      </c>
      <c r="J59" s="299"/>
      <c r="K59" s="135"/>
      <c r="M59" s="398"/>
      <c r="N59" s="399"/>
      <c r="O59" s="398"/>
      <c r="P59" s="400"/>
    </row>
    <row r="60" spans="1:16" ht="28.2" x14ac:dyDescent="0.3">
      <c r="A60" s="56">
        <v>144</v>
      </c>
      <c r="B60" s="128" t="str">
        <f t="shared" si="8"/>
        <v>Repair &amp; Replace</v>
      </c>
      <c r="C60" s="128" t="str">
        <f t="shared" si="11"/>
        <v>Miscellaneous</v>
      </c>
      <c r="D60" s="270" t="str">
        <f t="shared" si="12"/>
        <v>Annual maintenance on the existing site sprinkler system</v>
      </c>
      <c r="E60" s="133">
        <f t="shared" si="13"/>
        <v>4375</v>
      </c>
      <c r="F60" s="134" t="str">
        <f t="shared" si="14"/>
        <v>No</v>
      </c>
      <c r="G60" s="130">
        <f t="shared" si="15"/>
        <v>4812.5</v>
      </c>
      <c r="H60" s="229">
        <f t="shared" si="9"/>
        <v>2022</v>
      </c>
      <c r="I60" s="131">
        <f t="shared" si="10"/>
        <v>5579.0064825687496</v>
      </c>
      <c r="J60" s="299"/>
      <c r="K60" s="135"/>
      <c r="M60" s="398"/>
      <c r="N60" s="399"/>
      <c r="O60" s="398"/>
      <c r="P60" s="400"/>
    </row>
    <row r="61" spans="1:16" ht="28.2" x14ac:dyDescent="0.3">
      <c r="A61" s="56">
        <v>145</v>
      </c>
      <c r="B61" s="128" t="str">
        <f t="shared" si="8"/>
        <v>Repair &amp; Replace</v>
      </c>
      <c r="C61" s="128" t="str">
        <f t="shared" si="11"/>
        <v>Miscellaneous</v>
      </c>
      <c r="D61" s="270" t="str">
        <f t="shared" si="12"/>
        <v>Annual maintenance on the existing site fire alarm</v>
      </c>
      <c r="E61" s="133">
        <f t="shared" si="13"/>
        <v>7000</v>
      </c>
      <c r="F61" s="134" t="str">
        <f t="shared" si="14"/>
        <v>No</v>
      </c>
      <c r="G61" s="130">
        <f t="shared" si="15"/>
        <v>7700.0000000000009</v>
      </c>
      <c r="H61" s="229">
        <f t="shared" si="9"/>
        <v>2023</v>
      </c>
      <c r="I61" s="131">
        <f t="shared" si="10"/>
        <v>9194.2026832733009</v>
      </c>
      <c r="J61" s="299"/>
      <c r="K61" s="135"/>
      <c r="M61" s="398"/>
      <c r="N61" s="399"/>
      <c r="O61" s="398"/>
      <c r="P61" s="400"/>
    </row>
    <row r="62" spans="1:16" ht="28.2" x14ac:dyDescent="0.3">
      <c r="A62" s="56">
        <v>146</v>
      </c>
      <c r="B62" s="128" t="str">
        <f t="shared" si="8"/>
        <v>Repair &amp; Replace</v>
      </c>
      <c r="C62" s="128" t="str">
        <f t="shared" si="11"/>
        <v>Miscellaneous</v>
      </c>
      <c r="D62" s="270" t="str">
        <f t="shared" si="12"/>
        <v>Annual maintenance on the existing site sprinkler system</v>
      </c>
      <c r="E62" s="133">
        <f t="shared" si="13"/>
        <v>4375</v>
      </c>
      <c r="F62" s="134" t="str">
        <f t="shared" si="14"/>
        <v>No</v>
      </c>
      <c r="G62" s="130">
        <f t="shared" si="15"/>
        <v>4812.5</v>
      </c>
      <c r="H62" s="229">
        <f t="shared" si="9"/>
        <v>2023</v>
      </c>
      <c r="I62" s="131">
        <f t="shared" si="10"/>
        <v>5746.3766770458124</v>
      </c>
      <c r="J62" s="299"/>
      <c r="K62" s="135"/>
      <c r="M62" s="398"/>
      <c r="N62" s="399"/>
      <c r="O62" s="398"/>
      <c r="P62" s="400"/>
    </row>
    <row r="63" spans="1:16" ht="28.2" x14ac:dyDescent="0.3">
      <c r="A63" s="56">
        <v>147</v>
      </c>
      <c r="B63" s="128" t="str">
        <f t="shared" si="8"/>
        <v>Repair &amp; Replace</v>
      </c>
      <c r="C63" s="128" t="str">
        <f t="shared" si="11"/>
        <v>Miscellaneous</v>
      </c>
      <c r="D63" s="270" t="str">
        <f t="shared" si="12"/>
        <v>Annual maintenance on the existing site fire alarm</v>
      </c>
      <c r="E63" s="133">
        <f t="shared" si="13"/>
        <v>7000</v>
      </c>
      <c r="F63" s="134" t="str">
        <f t="shared" si="14"/>
        <v>No</v>
      </c>
      <c r="G63" s="130">
        <f t="shared" si="15"/>
        <v>7700.0000000000009</v>
      </c>
      <c r="H63" s="229">
        <f t="shared" si="9"/>
        <v>2024</v>
      </c>
      <c r="I63" s="131">
        <f t="shared" si="10"/>
        <v>9470.0287637714991</v>
      </c>
      <c r="J63" s="299"/>
      <c r="K63" s="135"/>
      <c r="M63" s="398"/>
      <c r="N63" s="399"/>
      <c r="O63" s="398"/>
      <c r="P63" s="400"/>
    </row>
    <row r="64" spans="1:16" ht="28.2" x14ac:dyDescent="0.3">
      <c r="A64" s="56">
        <v>148</v>
      </c>
      <c r="B64" s="128" t="str">
        <f t="shared" si="8"/>
        <v>Repair &amp; Replace</v>
      </c>
      <c r="C64" s="128" t="str">
        <f t="shared" si="11"/>
        <v>Miscellaneous</v>
      </c>
      <c r="D64" s="270" t="str">
        <f t="shared" si="12"/>
        <v>Annual maintenance on the existing site sprinkler system</v>
      </c>
      <c r="E64" s="133">
        <f t="shared" si="13"/>
        <v>4375</v>
      </c>
      <c r="F64" s="134" t="str">
        <f t="shared" si="14"/>
        <v>No</v>
      </c>
      <c r="G64" s="130">
        <f t="shared" si="15"/>
        <v>4812.5</v>
      </c>
      <c r="H64" s="229">
        <f t="shared" si="9"/>
        <v>2024</v>
      </c>
      <c r="I64" s="131">
        <f t="shared" si="10"/>
        <v>5918.7679773571872</v>
      </c>
      <c r="J64" s="299"/>
      <c r="K64" s="135"/>
      <c r="M64" s="398"/>
      <c r="N64" s="399"/>
      <c r="O64" s="398"/>
      <c r="P64" s="400"/>
    </row>
    <row r="65" spans="1:16" s="135" customFormat="1" ht="28.2" x14ac:dyDescent="0.3">
      <c r="A65" s="56">
        <v>149</v>
      </c>
      <c r="B65" s="128" t="str">
        <f t="shared" si="8"/>
        <v>Repair &amp; Replace</v>
      </c>
      <c r="C65" s="128" t="str">
        <f t="shared" si="11"/>
        <v>Miscellaneous</v>
      </c>
      <c r="D65" s="270" t="str">
        <f t="shared" si="12"/>
        <v>Annual maintenance on the existing site fire alarm</v>
      </c>
      <c r="E65" s="133">
        <f t="shared" si="13"/>
        <v>7000</v>
      </c>
      <c r="F65" s="134" t="str">
        <f t="shared" si="14"/>
        <v>No</v>
      </c>
      <c r="G65" s="130">
        <f t="shared" si="15"/>
        <v>7700.0000000000009</v>
      </c>
      <c r="H65" s="229">
        <f t="shared" si="9"/>
        <v>2025</v>
      </c>
      <c r="I65" s="131">
        <f t="shared" si="10"/>
        <v>9754.1296266846439</v>
      </c>
      <c r="J65" s="305"/>
      <c r="M65" s="398"/>
      <c r="N65" s="399"/>
      <c r="O65" s="398"/>
      <c r="P65" s="400"/>
    </row>
    <row r="66" spans="1:16" ht="28.2" x14ac:dyDescent="0.3">
      <c r="A66" s="56">
        <v>150</v>
      </c>
      <c r="B66" s="128" t="str">
        <f t="shared" si="8"/>
        <v>Repair &amp; Replace</v>
      </c>
      <c r="C66" s="128" t="str">
        <f t="shared" si="11"/>
        <v>Miscellaneous</v>
      </c>
      <c r="D66" s="270" t="str">
        <f t="shared" si="12"/>
        <v>Annual maintenance on the existing site sprinkler system</v>
      </c>
      <c r="E66" s="133">
        <f t="shared" si="13"/>
        <v>4375</v>
      </c>
      <c r="F66" s="134" t="str">
        <f t="shared" si="14"/>
        <v>No</v>
      </c>
      <c r="G66" s="130">
        <f t="shared" si="15"/>
        <v>4812.5</v>
      </c>
      <c r="H66" s="229">
        <f t="shared" si="9"/>
        <v>2025</v>
      </c>
      <c r="I66" s="131">
        <f t="shared" si="10"/>
        <v>6096.331016677902</v>
      </c>
      <c r="J66" s="299"/>
      <c r="K66" s="135"/>
      <c r="M66" s="398"/>
      <c r="N66" s="399"/>
      <c r="O66" s="398"/>
      <c r="P66" s="400"/>
    </row>
    <row r="67" spans="1:16" ht="28.2" x14ac:dyDescent="0.3">
      <c r="A67" s="56">
        <v>151</v>
      </c>
      <c r="B67" s="128" t="str">
        <f t="shared" si="8"/>
        <v>Repair &amp; Replace</v>
      </c>
      <c r="C67" s="128" t="str">
        <f t="shared" si="11"/>
        <v>Miscellaneous</v>
      </c>
      <c r="D67" s="270" t="str">
        <f t="shared" si="12"/>
        <v>Annual maintenance on the existing site fire alarm</v>
      </c>
      <c r="E67" s="133">
        <f t="shared" si="13"/>
        <v>7000</v>
      </c>
      <c r="F67" s="134" t="str">
        <f t="shared" si="14"/>
        <v>No</v>
      </c>
      <c r="G67" s="130">
        <f t="shared" si="15"/>
        <v>7700.0000000000009</v>
      </c>
      <c r="H67" s="229">
        <f t="shared" si="9"/>
        <v>2026</v>
      </c>
      <c r="I67" s="131">
        <f t="shared" si="10"/>
        <v>10046.753515485183</v>
      </c>
      <c r="J67" s="299"/>
      <c r="K67" s="135"/>
      <c r="M67" s="398"/>
      <c r="N67" s="399"/>
      <c r="O67" s="398"/>
      <c r="P67" s="400"/>
    </row>
    <row r="68" spans="1:16" ht="28.2" x14ac:dyDescent="0.3">
      <c r="A68" s="56">
        <v>152</v>
      </c>
      <c r="B68" s="128" t="str">
        <f t="shared" si="8"/>
        <v>Repair &amp; Replace</v>
      </c>
      <c r="C68" s="128" t="str">
        <f t="shared" si="11"/>
        <v>Miscellaneous</v>
      </c>
      <c r="D68" s="270" t="str">
        <f t="shared" si="12"/>
        <v>Annual maintenance on the existing site sprinkler system</v>
      </c>
      <c r="E68" s="133">
        <f t="shared" si="13"/>
        <v>4375</v>
      </c>
      <c r="F68" s="134" t="str">
        <f t="shared" si="14"/>
        <v>No</v>
      </c>
      <c r="G68" s="130">
        <f t="shared" si="15"/>
        <v>4812.5</v>
      </c>
      <c r="H68" s="229">
        <f t="shared" si="9"/>
        <v>2026</v>
      </c>
      <c r="I68" s="131">
        <f t="shared" si="10"/>
        <v>6279.2209471782389</v>
      </c>
      <c r="J68" s="299"/>
      <c r="K68" s="135"/>
      <c r="M68" s="398"/>
      <c r="N68" s="399"/>
      <c r="O68" s="398"/>
      <c r="P68" s="400"/>
    </row>
    <row r="69" spans="1:16" ht="28.2" x14ac:dyDescent="0.3">
      <c r="A69" s="56">
        <v>153</v>
      </c>
      <c r="B69" s="128" t="str">
        <f t="shared" si="8"/>
        <v>Repair &amp; Replace</v>
      </c>
      <c r="C69" s="128" t="str">
        <f t="shared" si="11"/>
        <v>Miscellaneous</v>
      </c>
      <c r="D69" s="270" t="str">
        <f t="shared" si="12"/>
        <v>Annual maintenance on the existing site fire alarm</v>
      </c>
      <c r="E69" s="133">
        <f t="shared" si="13"/>
        <v>7000</v>
      </c>
      <c r="F69" s="134" t="str">
        <f t="shared" si="14"/>
        <v>No</v>
      </c>
      <c r="G69" s="130">
        <f t="shared" si="15"/>
        <v>7700.0000000000009</v>
      </c>
      <c r="H69" s="229">
        <f t="shared" si="9"/>
        <v>2027</v>
      </c>
      <c r="I69" s="131">
        <f t="shared" si="10"/>
        <v>10348.156120949739</v>
      </c>
      <c r="J69" s="299"/>
      <c r="K69" s="135"/>
      <c r="M69" s="398"/>
      <c r="N69" s="399"/>
      <c r="O69" s="398"/>
      <c r="P69" s="400"/>
    </row>
    <row r="70" spans="1:16" ht="28.2" x14ac:dyDescent="0.3">
      <c r="A70" s="56">
        <v>154</v>
      </c>
      <c r="B70" s="128" t="str">
        <f t="shared" si="8"/>
        <v>Repair &amp; Replace</v>
      </c>
      <c r="C70" s="128" t="str">
        <f t="shared" si="11"/>
        <v>Miscellaneous</v>
      </c>
      <c r="D70" s="270" t="str">
        <f t="shared" si="12"/>
        <v>Annual maintenance on the existing site sprinkler system</v>
      </c>
      <c r="E70" s="133">
        <f t="shared" si="13"/>
        <v>4375</v>
      </c>
      <c r="F70" s="134" t="str">
        <f t="shared" si="14"/>
        <v>No</v>
      </c>
      <c r="G70" s="130">
        <f t="shared" si="15"/>
        <v>4812.5</v>
      </c>
      <c r="H70" s="229">
        <f t="shared" si="9"/>
        <v>2027</v>
      </c>
      <c r="I70" s="131">
        <f t="shared" si="10"/>
        <v>6467.597575593586</v>
      </c>
      <c r="J70" s="299"/>
      <c r="K70" s="135"/>
      <c r="M70" s="398"/>
      <c r="N70" s="399"/>
      <c r="O70" s="398"/>
      <c r="P70" s="400"/>
    </row>
    <row r="71" spans="1:16" ht="28.2" x14ac:dyDescent="0.3">
      <c r="A71" s="56">
        <v>155</v>
      </c>
      <c r="B71" s="128" t="str">
        <f t="shared" si="8"/>
        <v>Repair &amp; Replace</v>
      </c>
      <c r="C71" s="128" t="str">
        <f t="shared" si="11"/>
        <v>Miscellaneous</v>
      </c>
      <c r="D71" s="270" t="str">
        <f t="shared" si="12"/>
        <v>Annual maintenance on the existing site fire alarm</v>
      </c>
      <c r="E71" s="133">
        <f t="shared" si="13"/>
        <v>7000</v>
      </c>
      <c r="F71" s="134" t="str">
        <f t="shared" si="14"/>
        <v>No</v>
      </c>
      <c r="G71" s="130">
        <f t="shared" si="15"/>
        <v>7700.0000000000009</v>
      </c>
      <c r="H71" s="229">
        <f t="shared" si="9"/>
        <v>2028</v>
      </c>
      <c r="I71" s="131">
        <f t="shared" si="10"/>
        <v>10658.600804578231</v>
      </c>
      <c r="J71" s="299"/>
      <c r="K71" s="135"/>
      <c r="M71" s="398"/>
      <c r="N71" s="399"/>
      <c r="O71" s="398"/>
      <c r="P71" s="400"/>
    </row>
    <row r="72" spans="1:16" ht="28.2" x14ac:dyDescent="0.3">
      <c r="A72" s="56">
        <v>156</v>
      </c>
      <c r="B72" s="128" t="str">
        <f t="shared" si="8"/>
        <v>Repair &amp; Replace</v>
      </c>
      <c r="C72" s="128" t="str">
        <f t="shared" si="11"/>
        <v>Miscellaneous</v>
      </c>
      <c r="D72" s="270" t="str">
        <f t="shared" si="12"/>
        <v>Annual maintenance on the existing site sprinkler system</v>
      </c>
      <c r="E72" s="133">
        <f t="shared" si="13"/>
        <v>4375</v>
      </c>
      <c r="F72" s="134" t="str">
        <f t="shared" si="14"/>
        <v>No</v>
      </c>
      <c r="G72" s="130">
        <f t="shared" si="15"/>
        <v>4812.5</v>
      </c>
      <c r="H72" s="229">
        <f t="shared" si="9"/>
        <v>2028</v>
      </c>
      <c r="I72" s="131">
        <f t="shared" si="10"/>
        <v>6661.6255028613941</v>
      </c>
      <c r="J72" s="299"/>
      <c r="K72" s="135"/>
      <c r="M72" s="398"/>
      <c r="N72" s="399"/>
      <c r="O72" s="398"/>
      <c r="P72" s="400"/>
    </row>
    <row r="73" spans="1:16" ht="28.2" x14ac:dyDescent="0.3">
      <c r="A73" s="56">
        <v>157</v>
      </c>
      <c r="B73" s="128" t="str">
        <f t="shared" ref="B73:B88" si="16">VLOOKUP($A73,CIP_Full,2,FALSE)</f>
        <v>Repair &amp; Replace</v>
      </c>
      <c r="C73" s="128" t="str">
        <f t="shared" ref="C73:C88" si="17">VLOOKUP($A73,CIP_Full,3,FALSE)</f>
        <v>Miscellaneous</v>
      </c>
      <c r="D73" s="270" t="str">
        <f t="shared" ref="D73:D88" si="18">VLOOKUP($A73,CIP_Full,4,FALSE)</f>
        <v>Annual maintenance on the existing site fire alarm</v>
      </c>
      <c r="E73" s="133">
        <f t="shared" ref="E73:E88" si="19">VLOOKUP($A73,CIP_Full,5,FALSE)</f>
        <v>7000</v>
      </c>
      <c r="F73" s="134" t="str">
        <f t="shared" ref="F73:F88" si="20">VLOOKUP($A73,CIP_Full,6,FALSE)</f>
        <v>No</v>
      </c>
      <c r="G73" s="130">
        <f t="shared" ref="G73:G88" si="21">VLOOKUP($A73,CIP_Full,10,FALSE)</f>
        <v>7700.0000000000009</v>
      </c>
      <c r="H73" s="229">
        <f t="shared" ref="H73:H88" si="22">VLOOKUP($A73,CIP_Full,11,FALSE)</f>
        <v>2029</v>
      </c>
      <c r="I73" s="131">
        <f t="shared" ref="I73:I88" si="23">VLOOKUP($A73,CIP_Full,13,FALSE)</f>
        <v>10978.358828715576</v>
      </c>
      <c r="J73" s="299"/>
      <c r="K73" s="135"/>
      <c r="M73" s="398"/>
      <c r="N73" s="399"/>
      <c r="O73" s="398"/>
      <c r="P73" s="400"/>
    </row>
    <row r="74" spans="1:16" ht="28.2" x14ac:dyDescent="0.3">
      <c r="A74" s="56">
        <v>158</v>
      </c>
      <c r="B74" s="128" t="str">
        <f t="shared" si="16"/>
        <v>Repair &amp; Replace</v>
      </c>
      <c r="C74" s="128" t="str">
        <f t="shared" si="17"/>
        <v>Miscellaneous</v>
      </c>
      <c r="D74" s="270" t="str">
        <f t="shared" si="18"/>
        <v>Annual maintenance on the existing site sprinkler system</v>
      </c>
      <c r="E74" s="133">
        <f t="shared" si="19"/>
        <v>4375</v>
      </c>
      <c r="F74" s="134" t="str">
        <f t="shared" si="20"/>
        <v>No</v>
      </c>
      <c r="G74" s="130">
        <f t="shared" si="21"/>
        <v>4812.5</v>
      </c>
      <c r="H74" s="229">
        <f t="shared" si="22"/>
        <v>2029</v>
      </c>
      <c r="I74" s="131">
        <f t="shared" si="23"/>
        <v>6861.4742679472347</v>
      </c>
      <c r="J74" s="299"/>
      <c r="K74" s="135"/>
      <c r="M74" s="398"/>
      <c r="N74" s="399"/>
      <c r="O74" s="398"/>
      <c r="P74" s="400"/>
    </row>
    <row r="75" spans="1:16" ht="28.2" x14ac:dyDescent="0.3">
      <c r="A75" s="56">
        <v>159</v>
      </c>
      <c r="B75" s="128" t="str">
        <f t="shared" si="16"/>
        <v>Repair &amp; Replace</v>
      </c>
      <c r="C75" s="128" t="str">
        <f t="shared" si="17"/>
        <v>Miscellaneous</v>
      </c>
      <c r="D75" s="270" t="str">
        <f t="shared" si="18"/>
        <v>Annual maintenance on the existing site fire alarm</v>
      </c>
      <c r="E75" s="133">
        <f t="shared" si="19"/>
        <v>7000</v>
      </c>
      <c r="F75" s="134" t="str">
        <f t="shared" si="20"/>
        <v>No</v>
      </c>
      <c r="G75" s="130">
        <f t="shared" si="21"/>
        <v>7700.0000000000009</v>
      </c>
      <c r="H75" s="229">
        <f t="shared" si="22"/>
        <v>2030</v>
      </c>
      <c r="I75" s="131">
        <f t="shared" si="23"/>
        <v>11307.709593577043</v>
      </c>
      <c r="J75" s="299"/>
      <c r="K75" s="135"/>
      <c r="M75" s="398"/>
      <c r="N75" s="399"/>
      <c r="O75" s="398"/>
      <c r="P75" s="400"/>
    </row>
    <row r="76" spans="1:16" ht="28.2" x14ac:dyDescent="0.3">
      <c r="A76" s="56">
        <v>160</v>
      </c>
      <c r="B76" s="128" t="str">
        <f t="shared" si="16"/>
        <v>Repair &amp; Replace</v>
      </c>
      <c r="C76" s="128" t="str">
        <f t="shared" si="17"/>
        <v>Miscellaneous</v>
      </c>
      <c r="D76" s="270" t="str">
        <f t="shared" si="18"/>
        <v>Annual maintenance on the existing site sprinkler system</v>
      </c>
      <c r="E76" s="133">
        <f t="shared" si="19"/>
        <v>4375</v>
      </c>
      <c r="F76" s="134" t="str">
        <f t="shared" si="20"/>
        <v>No</v>
      </c>
      <c r="G76" s="130">
        <f t="shared" si="21"/>
        <v>4812.5</v>
      </c>
      <c r="H76" s="229">
        <f t="shared" si="22"/>
        <v>2030</v>
      </c>
      <c r="I76" s="131">
        <f t="shared" si="23"/>
        <v>7067.3184959856517</v>
      </c>
      <c r="J76" s="299"/>
      <c r="K76" s="135"/>
      <c r="M76" s="398"/>
      <c r="N76" s="399"/>
      <c r="O76" s="398"/>
      <c r="P76" s="400"/>
    </row>
    <row r="77" spans="1:16" ht="28.2" x14ac:dyDescent="0.3">
      <c r="A77" s="56">
        <v>161</v>
      </c>
      <c r="B77" s="128" t="str">
        <f t="shared" si="16"/>
        <v>Repair &amp; Replace</v>
      </c>
      <c r="C77" s="128" t="str">
        <f t="shared" si="17"/>
        <v>Miscellaneous</v>
      </c>
      <c r="D77" s="270" t="str">
        <f t="shared" si="18"/>
        <v>Annual maintenance on the existing site fire alarm</v>
      </c>
      <c r="E77" s="133">
        <f t="shared" si="19"/>
        <v>7000</v>
      </c>
      <c r="F77" s="134" t="str">
        <f t="shared" si="20"/>
        <v>No</v>
      </c>
      <c r="G77" s="130">
        <f t="shared" si="21"/>
        <v>7700.0000000000009</v>
      </c>
      <c r="H77" s="229">
        <f t="shared" si="22"/>
        <v>2031</v>
      </c>
      <c r="I77" s="131">
        <f t="shared" si="23"/>
        <v>11646.940881384357</v>
      </c>
      <c r="J77" s="299"/>
      <c r="K77" s="135"/>
      <c r="M77" s="398"/>
      <c r="N77" s="399"/>
      <c r="O77" s="398"/>
      <c r="P77" s="400"/>
    </row>
    <row r="78" spans="1:16" ht="28.2" x14ac:dyDescent="0.3">
      <c r="A78" s="56">
        <v>162</v>
      </c>
      <c r="B78" s="128" t="str">
        <f t="shared" si="16"/>
        <v>Repair &amp; Replace</v>
      </c>
      <c r="C78" s="128" t="str">
        <f t="shared" si="17"/>
        <v>Miscellaneous</v>
      </c>
      <c r="D78" s="270" t="str">
        <f t="shared" si="18"/>
        <v>Annual maintenance on the existing site sprinkler system</v>
      </c>
      <c r="E78" s="133">
        <f t="shared" si="19"/>
        <v>4375</v>
      </c>
      <c r="F78" s="134" t="str">
        <f t="shared" si="20"/>
        <v>No</v>
      </c>
      <c r="G78" s="130">
        <f t="shared" si="21"/>
        <v>4812.5</v>
      </c>
      <c r="H78" s="229">
        <f t="shared" si="22"/>
        <v>2031</v>
      </c>
      <c r="I78" s="131">
        <f t="shared" si="23"/>
        <v>7279.3380508652217</v>
      </c>
      <c r="J78" s="299"/>
      <c r="K78" s="135"/>
      <c r="M78" s="398"/>
      <c r="N78" s="399"/>
      <c r="O78" s="398"/>
      <c r="P78" s="400"/>
    </row>
    <row r="79" spans="1:16" ht="28.2" x14ac:dyDescent="0.3">
      <c r="A79" s="56">
        <v>163</v>
      </c>
      <c r="B79" s="128" t="str">
        <f t="shared" si="16"/>
        <v>Repair &amp; Replace</v>
      </c>
      <c r="C79" s="128" t="str">
        <f t="shared" si="17"/>
        <v>Miscellaneous</v>
      </c>
      <c r="D79" s="270" t="str">
        <f t="shared" si="18"/>
        <v>Annual maintenance on the existing site fire alarm</v>
      </c>
      <c r="E79" s="133">
        <f t="shared" si="19"/>
        <v>7000</v>
      </c>
      <c r="F79" s="134" t="str">
        <f t="shared" si="20"/>
        <v>No</v>
      </c>
      <c r="G79" s="130">
        <f t="shared" si="21"/>
        <v>7700.0000000000009</v>
      </c>
      <c r="H79" s="229">
        <f t="shared" si="22"/>
        <v>2032</v>
      </c>
      <c r="I79" s="131">
        <f t="shared" si="23"/>
        <v>11996.349107825887</v>
      </c>
      <c r="J79" s="299"/>
      <c r="K79" s="135"/>
      <c r="M79" s="398"/>
      <c r="N79" s="399"/>
      <c r="O79" s="398"/>
      <c r="P79" s="400"/>
    </row>
    <row r="80" spans="1:16" ht="28.2" x14ac:dyDescent="0.3">
      <c r="A80" s="56">
        <v>164</v>
      </c>
      <c r="B80" s="128" t="str">
        <f t="shared" si="16"/>
        <v>Repair &amp; Replace</v>
      </c>
      <c r="C80" s="128" t="str">
        <f t="shared" si="17"/>
        <v>Miscellaneous</v>
      </c>
      <c r="D80" s="270" t="str">
        <f t="shared" si="18"/>
        <v>Annual maintenance on the existing site sprinkler system</v>
      </c>
      <c r="E80" s="133">
        <f t="shared" si="19"/>
        <v>4375</v>
      </c>
      <c r="F80" s="134" t="str">
        <f t="shared" si="20"/>
        <v>No</v>
      </c>
      <c r="G80" s="130">
        <f t="shared" si="21"/>
        <v>4812.5</v>
      </c>
      <c r="H80" s="229">
        <f t="shared" si="22"/>
        <v>2032</v>
      </c>
      <c r="I80" s="131">
        <f t="shared" si="23"/>
        <v>7497.7181923911785</v>
      </c>
      <c r="J80" s="299"/>
      <c r="K80" s="135"/>
      <c r="M80" s="398"/>
      <c r="N80" s="399"/>
      <c r="O80" s="398"/>
      <c r="P80" s="400"/>
    </row>
    <row r="81" spans="1:16" ht="28.2" x14ac:dyDescent="0.3">
      <c r="A81" s="56">
        <v>165</v>
      </c>
      <c r="B81" s="128" t="str">
        <f t="shared" si="16"/>
        <v>Repair &amp; Replace</v>
      </c>
      <c r="C81" s="128" t="str">
        <f t="shared" si="17"/>
        <v>Miscellaneous</v>
      </c>
      <c r="D81" s="270" t="str">
        <f t="shared" si="18"/>
        <v>Annual maintenance on the existing site fire alarm</v>
      </c>
      <c r="E81" s="133">
        <f t="shared" si="19"/>
        <v>7000</v>
      </c>
      <c r="F81" s="134" t="str">
        <f t="shared" si="20"/>
        <v>No</v>
      </c>
      <c r="G81" s="130">
        <f t="shared" si="21"/>
        <v>7700.0000000000009</v>
      </c>
      <c r="H81" s="229">
        <f t="shared" si="22"/>
        <v>2033</v>
      </c>
      <c r="I81" s="131">
        <f t="shared" si="23"/>
        <v>12356.239581060661</v>
      </c>
      <c r="J81" s="299"/>
      <c r="K81" s="135"/>
      <c r="M81" s="398"/>
      <c r="N81" s="399"/>
      <c r="O81" s="398"/>
      <c r="P81" s="400"/>
    </row>
    <row r="82" spans="1:16" ht="28.2" x14ac:dyDescent="0.3">
      <c r="A82" s="56">
        <v>166</v>
      </c>
      <c r="B82" s="128" t="str">
        <f t="shared" si="16"/>
        <v>Repair &amp; Replace</v>
      </c>
      <c r="C82" s="128" t="str">
        <f t="shared" si="17"/>
        <v>Miscellaneous</v>
      </c>
      <c r="D82" s="270" t="str">
        <f t="shared" si="18"/>
        <v>Annual maintenance on the existing site sprinkler system</v>
      </c>
      <c r="E82" s="133">
        <f t="shared" si="19"/>
        <v>4375</v>
      </c>
      <c r="F82" s="134" t="str">
        <f t="shared" si="20"/>
        <v>No</v>
      </c>
      <c r="G82" s="130">
        <f t="shared" si="21"/>
        <v>4812.5</v>
      </c>
      <c r="H82" s="229">
        <f t="shared" si="22"/>
        <v>2033</v>
      </c>
      <c r="I82" s="131">
        <f t="shared" si="23"/>
        <v>7722.6497381629124</v>
      </c>
      <c r="J82" s="299"/>
      <c r="K82" s="135"/>
      <c r="M82" s="398"/>
      <c r="N82" s="399"/>
      <c r="O82" s="398"/>
      <c r="P82" s="400"/>
    </row>
    <row r="83" spans="1:16" ht="28.2" x14ac:dyDescent="0.3">
      <c r="A83" s="56">
        <v>167</v>
      </c>
      <c r="B83" s="128" t="str">
        <f t="shared" si="16"/>
        <v>Repair &amp; Replace</v>
      </c>
      <c r="C83" s="128" t="str">
        <f t="shared" si="17"/>
        <v>Miscellaneous</v>
      </c>
      <c r="D83" s="270" t="str">
        <f t="shared" si="18"/>
        <v>Annual maintenance on the existing site fire alarm</v>
      </c>
      <c r="E83" s="133">
        <f t="shared" si="19"/>
        <v>7000</v>
      </c>
      <c r="F83" s="134" t="str">
        <f t="shared" si="20"/>
        <v>No</v>
      </c>
      <c r="G83" s="130">
        <f t="shared" si="21"/>
        <v>7700.0000000000009</v>
      </c>
      <c r="H83" s="229">
        <f t="shared" si="22"/>
        <v>2034</v>
      </c>
      <c r="I83" s="131">
        <f t="shared" si="23"/>
        <v>12726.926768492482</v>
      </c>
      <c r="J83" s="299"/>
      <c r="K83" s="135"/>
      <c r="M83" s="398"/>
      <c r="N83" s="399"/>
      <c r="O83" s="398"/>
      <c r="P83" s="400"/>
    </row>
    <row r="84" spans="1:16" ht="28.2" x14ac:dyDescent="0.3">
      <c r="A84" s="56">
        <v>168</v>
      </c>
      <c r="B84" s="128" t="str">
        <f t="shared" si="16"/>
        <v>Repair &amp; Replace</v>
      </c>
      <c r="C84" s="128" t="str">
        <f t="shared" si="17"/>
        <v>Miscellaneous</v>
      </c>
      <c r="D84" s="270" t="str">
        <f t="shared" si="18"/>
        <v>Annual maintenance on the existing site sprinkler system</v>
      </c>
      <c r="E84" s="133">
        <f t="shared" si="19"/>
        <v>4375</v>
      </c>
      <c r="F84" s="134" t="str">
        <f t="shared" si="20"/>
        <v>No</v>
      </c>
      <c r="G84" s="130">
        <f t="shared" si="21"/>
        <v>4812.5</v>
      </c>
      <c r="H84" s="229">
        <f t="shared" si="22"/>
        <v>2034</v>
      </c>
      <c r="I84" s="131">
        <f t="shared" si="23"/>
        <v>7954.3292303078006</v>
      </c>
      <c r="J84" s="299"/>
      <c r="K84" s="135"/>
      <c r="M84" s="398"/>
      <c r="N84" s="399"/>
      <c r="O84" s="398"/>
      <c r="P84" s="400"/>
    </row>
    <row r="85" spans="1:16" ht="28.2" x14ac:dyDescent="0.3">
      <c r="A85" s="56">
        <v>169</v>
      </c>
      <c r="B85" s="128" t="str">
        <f t="shared" si="16"/>
        <v>Repair &amp; Replace</v>
      </c>
      <c r="C85" s="128" t="str">
        <f t="shared" si="17"/>
        <v>Miscellaneous</v>
      </c>
      <c r="D85" s="270" t="str">
        <f t="shared" si="18"/>
        <v>Annual maintenance on the existing site fire alarm</v>
      </c>
      <c r="E85" s="133">
        <f t="shared" si="19"/>
        <v>7000</v>
      </c>
      <c r="F85" s="134" t="str">
        <f t="shared" si="20"/>
        <v>No</v>
      </c>
      <c r="G85" s="130">
        <f t="shared" si="21"/>
        <v>7700.0000000000009</v>
      </c>
      <c r="H85" s="229">
        <f t="shared" si="22"/>
        <v>2035</v>
      </c>
      <c r="I85" s="131">
        <f t="shared" si="23"/>
        <v>13108.734571547257</v>
      </c>
      <c r="J85" s="299"/>
      <c r="K85" s="135"/>
      <c r="M85" s="398"/>
      <c r="N85" s="399"/>
      <c r="O85" s="398"/>
      <c r="P85" s="400"/>
    </row>
    <row r="86" spans="1:16" ht="28.2" x14ac:dyDescent="0.3">
      <c r="A86" s="56">
        <v>170</v>
      </c>
      <c r="B86" s="128" t="str">
        <f t="shared" si="16"/>
        <v>Repair &amp; Replace</v>
      </c>
      <c r="C86" s="128" t="str">
        <f t="shared" si="17"/>
        <v>Miscellaneous</v>
      </c>
      <c r="D86" s="270" t="str">
        <f t="shared" si="18"/>
        <v>Annual maintenance on the existing site sprinkler system</v>
      </c>
      <c r="E86" s="133">
        <f t="shared" si="19"/>
        <v>4375</v>
      </c>
      <c r="F86" s="134" t="str">
        <f t="shared" si="20"/>
        <v>No</v>
      </c>
      <c r="G86" s="130">
        <f t="shared" si="21"/>
        <v>4812.5</v>
      </c>
      <c r="H86" s="229">
        <f t="shared" si="22"/>
        <v>2035</v>
      </c>
      <c r="I86" s="131">
        <f t="shared" si="23"/>
        <v>8192.9591072170351</v>
      </c>
      <c r="J86" s="299"/>
      <c r="K86" s="135"/>
      <c r="M86" s="398"/>
      <c r="N86" s="399"/>
      <c r="O86" s="398"/>
      <c r="P86" s="400"/>
    </row>
    <row r="87" spans="1:16" ht="28.2" x14ac:dyDescent="0.3">
      <c r="A87" s="56">
        <v>171</v>
      </c>
      <c r="B87" s="128" t="str">
        <f t="shared" si="16"/>
        <v>Repair &amp; Replace</v>
      </c>
      <c r="C87" s="128" t="str">
        <f t="shared" si="17"/>
        <v>Miscellaneous</v>
      </c>
      <c r="D87" s="270" t="str">
        <f t="shared" si="18"/>
        <v>Annual maintenance on the existing site fire alarm</v>
      </c>
      <c r="E87" s="133">
        <f t="shared" si="19"/>
        <v>7000</v>
      </c>
      <c r="F87" s="134" t="str">
        <f t="shared" si="20"/>
        <v>No</v>
      </c>
      <c r="G87" s="130">
        <f t="shared" si="21"/>
        <v>7700.0000000000009</v>
      </c>
      <c r="H87" s="229">
        <f t="shared" si="22"/>
        <v>2036</v>
      </c>
      <c r="I87" s="131">
        <f t="shared" si="23"/>
        <v>13501.996608693673</v>
      </c>
      <c r="J87" s="299"/>
      <c r="K87" s="135"/>
      <c r="M87" s="398"/>
      <c r="N87" s="399"/>
      <c r="O87" s="398"/>
      <c r="P87" s="400"/>
    </row>
    <row r="88" spans="1:16" ht="28.2" x14ac:dyDescent="0.3">
      <c r="A88" s="56">
        <v>172</v>
      </c>
      <c r="B88" s="128" t="str">
        <f t="shared" si="16"/>
        <v>Repair &amp; Replace</v>
      </c>
      <c r="C88" s="128" t="str">
        <f t="shared" si="17"/>
        <v>Miscellaneous</v>
      </c>
      <c r="D88" s="270" t="str">
        <f t="shared" si="18"/>
        <v>Annual maintenance on the existing site sprinkler system</v>
      </c>
      <c r="E88" s="133">
        <f t="shared" si="19"/>
        <v>4375</v>
      </c>
      <c r="F88" s="134" t="str">
        <f t="shared" si="20"/>
        <v>No</v>
      </c>
      <c r="G88" s="130">
        <f t="shared" si="21"/>
        <v>4812.5</v>
      </c>
      <c r="H88" s="229">
        <f t="shared" si="22"/>
        <v>2036</v>
      </c>
      <c r="I88" s="131">
        <f t="shared" si="23"/>
        <v>8438.7478804335442</v>
      </c>
      <c r="J88" s="299"/>
      <c r="K88" s="135"/>
      <c r="M88" s="398"/>
      <c r="N88" s="399"/>
      <c r="O88" s="398"/>
      <c r="P88" s="400"/>
    </row>
    <row r="89" spans="1:16" x14ac:dyDescent="0.3">
      <c r="A89" s="208" t="s">
        <v>3</v>
      </c>
      <c r="B89" s="209"/>
      <c r="C89" s="209"/>
      <c r="D89" s="209"/>
      <c r="E89" s="209"/>
      <c r="F89" s="209"/>
      <c r="G89" s="209"/>
      <c r="H89" s="209"/>
      <c r="I89" s="209"/>
      <c r="J89" s="210"/>
      <c r="K89" s="135"/>
      <c r="M89" s="398"/>
      <c r="N89" s="399"/>
      <c r="O89" s="398"/>
      <c r="P89" s="400"/>
    </row>
    <row r="90" spans="1:16" x14ac:dyDescent="0.3">
      <c r="A90" s="14" t="s">
        <v>2</v>
      </c>
      <c r="B90" s="138" t="str">
        <f>"In "&amp;TEXT(estimate_date,"mm/yy")&amp;" dollars. Assuming "&amp;Design*100&amp;"% contingency for Design and "&amp;Admin*100&amp;"% for legal and administration costs."</f>
        <v>In 09/17 dollars. Assuming 15% contingency for Design and 10% for legal and administration costs.</v>
      </c>
      <c r="C90" s="266"/>
      <c r="D90" s="137"/>
      <c r="E90" s="137"/>
      <c r="F90" s="137"/>
      <c r="G90" s="137"/>
      <c r="H90" s="137"/>
      <c r="I90" s="137"/>
      <c r="J90" s="141"/>
      <c r="K90" s="135"/>
      <c r="M90" s="398"/>
      <c r="N90" s="399"/>
      <c r="O90" s="398"/>
      <c r="P90" s="400"/>
    </row>
    <row r="91" spans="1:16" x14ac:dyDescent="0.3">
      <c r="M91" s="398"/>
      <c r="N91" s="399"/>
      <c r="O91" s="398"/>
      <c r="P91" s="400"/>
    </row>
    <row r="92" spans="1:16" x14ac:dyDescent="0.3">
      <c r="M92" s="398"/>
      <c r="N92" s="399"/>
      <c r="O92" s="398"/>
      <c r="P92" s="400"/>
    </row>
    <row r="93" spans="1:16" x14ac:dyDescent="0.3">
      <c r="E93" s="29"/>
      <c r="I93" s="265"/>
      <c r="M93" s="398"/>
      <c r="N93" s="399"/>
      <c r="O93" s="398"/>
      <c r="P93" s="400"/>
    </row>
    <row r="94" spans="1:16" x14ac:dyDescent="0.3">
      <c r="I94" s="265"/>
      <c r="M94" s="398"/>
      <c r="N94" s="399"/>
      <c r="O94" s="398"/>
      <c r="P94" s="400"/>
    </row>
    <row r="95" spans="1:16" x14ac:dyDescent="0.3">
      <c r="I95" s="265"/>
      <c r="M95" s="398"/>
      <c r="N95" s="399"/>
      <c r="O95" s="398"/>
      <c r="P95" s="400"/>
    </row>
  </sheetData>
  <sheetProtection algorithmName="SHA-512" hashValue="R2CpOaKElsb8EV7+1SgincEAEvJaJn5bmLiDyTIVQbD+P2xQe6Djs7anQnuvB29mKOP29B/SOLusjJpsPlk49A==" saltValue="MpANCJsfD9qU6lRy19Wt+Q==" spinCount="100000" sheet="1" objects="1" scenarios="1" sort="0" autoFilter="0"/>
  <autoFilter ref="D11:J11"/>
  <mergeCells count="1">
    <mergeCell ref="C7:F8"/>
  </mergeCells>
  <dataValidations disablePrompts="1" count="2">
    <dataValidation type="list" allowBlank="1" showInputMessage="1" showErrorMessage="1" sqref="C6">
      <formula1>"Risk Mitigation,Capacity Improvement,Renewal and Replacement,Treatment Upgrade, Study"</formula1>
    </dataValidation>
    <dataValidation type="list" allowBlank="1" showInputMessage="1" showErrorMessage="1" sqref="F12:F14 F16:F88">
      <formula1>"Yes,No"</formula1>
    </dataValidation>
  </dataValidations>
  <pageMargins left="0.7" right="0.7" top="0.75" bottom="0.75" header="0.3" footer="0.3"/>
  <pageSetup scale="60" pageOrder="overThenDown" orientation="landscape" verticalDpi="1200" r:id="rId1"/>
  <headerFooter>
    <oddHeader>&amp;L&amp;"Arial,Bold"WILLAMETTE RIVER WATER TREATMENT PLANT - 2017 MASTER PLAN UPDATE
CAPITAL IMPROVEMENT PLAN UPDATE
PROJECT NO. 5</oddHeader>
    <oddFooter>&amp;L&amp;"Arial,Regular"&amp;8WRWTP - 2017 MPU CIP Workbook&amp;C&amp;"Arial,Regular"&amp;8&amp;A Sheet&amp;R&amp;"Arial,Regular"&amp;8Page &amp;P of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2:F7"/>
  <sheetViews>
    <sheetView workbookViewId="0">
      <selection activeCell="C3" sqref="C3:C4"/>
    </sheetView>
  </sheetViews>
  <sheetFormatPr defaultRowHeight="14.4" x14ac:dyDescent="0.3"/>
  <cols>
    <col min="2" max="2" width="35.33203125" customWidth="1"/>
    <col min="3" max="3" width="12.88671875" customWidth="1"/>
    <col min="4" max="4" width="14.33203125" customWidth="1"/>
    <col min="5" max="5" width="33.6640625" customWidth="1"/>
    <col min="6" max="6" width="13.6640625" customWidth="1"/>
  </cols>
  <sheetData>
    <row r="2" spans="1:6" ht="43.2" x14ac:dyDescent="0.3">
      <c r="A2" s="379" t="s">
        <v>278</v>
      </c>
      <c r="B2" s="379" t="s">
        <v>275</v>
      </c>
      <c r="C2" s="379" t="s">
        <v>248</v>
      </c>
      <c r="D2" s="379" t="s">
        <v>249</v>
      </c>
      <c r="E2" s="379" t="s">
        <v>276</v>
      </c>
      <c r="F2" s="379" t="s">
        <v>277</v>
      </c>
    </row>
    <row r="3" spans="1:6" ht="28.8" x14ac:dyDescent="0.3">
      <c r="A3" s="380">
        <v>1</v>
      </c>
      <c r="B3" s="381" t="s">
        <v>290</v>
      </c>
      <c r="C3" s="432">
        <v>0.66700000000000004</v>
      </c>
      <c r="D3" s="382">
        <f>1-C3</f>
        <v>0.33299999999999996</v>
      </c>
      <c r="E3" s="381"/>
      <c r="F3" s="381"/>
    </row>
    <row r="4" spans="1:6" ht="28.8" x14ac:dyDescent="0.3">
      <c r="A4" s="380">
        <v>2</v>
      </c>
      <c r="B4" s="381" t="s">
        <v>313</v>
      </c>
      <c r="C4" s="432">
        <v>0.67700000000000005</v>
      </c>
      <c r="D4" s="382">
        <f t="shared" ref="D4" si="0">1-C4</f>
        <v>0.32299999999999995</v>
      </c>
      <c r="E4" s="381"/>
      <c r="F4" s="381"/>
    </row>
    <row r="5" spans="1:6" x14ac:dyDescent="0.3">
      <c r="A5" s="360"/>
      <c r="B5" s="361"/>
      <c r="C5" s="362"/>
      <c r="D5" s="363"/>
      <c r="E5" s="361"/>
      <c r="F5" s="361"/>
    </row>
    <row r="6" spans="1:6" x14ac:dyDescent="0.3">
      <c r="A6" s="360"/>
      <c r="B6" s="361"/>
      <c r="C6" s="362"/>
      <c r="D6" s="363"/>
      <c r="E6" s="361"/>
      <c r="F6" s="361"/>
    </row>
    <row r="7" spans="1:6" x14ac:dyDescent="0.3">
      <c r="A7" s="360"/>
      <c r="B7" s="361"/>
      <c r="C7" s="362"/>
      <c r="D7" s="363"/>
      <c r="E7" s="361"/>
      <c r="F7" s="361"/>
    </row>
  </sheetData>
  <sheetProtection algorithmName="SHA-512" hashValue="e0EUDFQWRsm7M65T6k8M285qgVHJwlG2qvdViM1+I13kVdrzyFM2MlTxeYbied4dntdO+uQkdJxLb2/1fYcw3A==" saltValue="Qfsrs4734mGz/UlY5TMWxw==" spinCount="100000" sheet="1" objects="1" scenarios="1"/>
  <dataValidations count="1">
    <dataValidation type="decimal" allowBlank="1" showInputMessage="1" showErrorMessage="1" error="Value entered must be between 0 and 100" sqref="C3:C7">
      <formula1>0</formula1>
      <formula2>1</formula2>
    </dataValidation>
  </dataValidation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12</vt:i4>
      </vt:variant>
      <vt:variant>
        <vt:lpstr>Charts</vt:lpstr>
      </vt:variant>
      <vt:variant>
        <vt:i4>8</vt:i4>
      </vt:variant>
      <vt:variant>
        <vt:lpstr>Named Ranges</vt:lpstr>
      </vt:variant>
      <vt:variant>
        <vt:i4>78</vt:i4>
      </vt:variant>
    </vt:vector>
  </HeadingPairs>
  <TitlesOfParts>
    <vt:vector size="98" baseType="lpstr">
      <vt:lpstr>README</vt:lpstr>
      <vt:lpstr>CIP Summary</vt:lpstr>
      <vt:lpstr>CIP Full</vt:lpstr>
      <vt:lpstr>P1</vt:lpstr>
      <vt:lpstr>P2</vt:lpstr>
      <vt:lpstr>P3</vt:lpstr>
      <vt:lpstr>P4</vt:lpstr>
      <vt:lpstr>P5</vt:lpstr>
      <vt:lpstr>Stakeholder Categories</vt:lpstr>
      <vt:lpstr>Financial Summary (2017)</vt:lpstr>
      <vt:lpstr>Financial Summary (Future)</vt:lpstr>
      <vt:lpstr>List Reference</vt:lpstr>
      <vt:lpstr>Near Term CIP (by project)</vt:lpstr>
      <vt:lpstr>Total CIP (by project)</vt:lpstr>
      <vt:lpstr>Near Term CIP (by partner)</vt:lpstr>
      <vt:lpstr>Total CIP (by partner)</vt:lpstr>
      <vt:lpstr>Near Term CIP (CoW)</vt:lpstr>
      <vt:lpstr>Total CIP (CoW)</vt:lpstr>
      <vt:lpstr>Near Term CIP (CoS)</vt:lpstr>
      <vt:lpstr>Total CIP (CoS)</vt:lpstr>
      <vt:lpstr>Admin</vt:lpstr>
      <vt:lpstr>CD_20MGD</vt:lpstr>
      <vt:lpstr>CD_30MGD</vt:lpstr>
      <vt:lpstr>CD_Safety</vt:lpstr>
      <vt:lpstr>CD_Seismic</vt:lpstr>
      <vt:lpstr>CIP_Full</vt:lpstr>
      <vt:lpstr>CIP_Summary</vt:lpstr>
      <vt:lpstr>Complete_20MGD</vt:lpstr>
      <vt:lpstr>Complete_30MGD</vt:lpstr>
      <vt:lpstr>Complete_Safety</vt:lpstr>
      <vt:lpstr>Complete_Seismic</vt:lpstr>
      <vt:lpstr>Constr_20MGD</vt:lpstr>
      <vt:lpstr>Constr_30MGD</vt:lpstr>
      <vt:lpstr>Constr_Safety</vt:lpstr>
      <vt:lpstr>Constr_Seismic</vt:lpstr>
      <vt:lpstr>COS_20MGD</vt:lpstr>
      <vt:lpstr>COS_30MGD</vt:lpstr>
      <vt:lpstr>COS_RR</vt:lpstr>
      <vt:lpstr>COS_Safety</vt:lpstr>
      <vt:lpstr>COS_Seismic</vt:lpstr>
      <vt:lpstr>COW_20MGD</vt:lpstr>
      <vt:lpstr>COW_30MGD</vt:lpstr>
      <vt:lpstr>COW_RR</vt:lpstr>
      <vt:lpstr>COW_Safety</vt:lpstr>
      <vt:lpstr>COW_Seismic</vt:lpstr>
      <vt:lpstr>DD_20MGD</vt:lpstr>
      <vt:lpstr>DD_30MGD</vt:lpstr>
      <vt:lpstr>DD_Safety</vt:lpstr>
      <vt:lpstr>DD_Seismic</vt:lpstr>
      <vt:lpstr>Design</vt:lpstr>
      <vt:lpstr>Design_20MGD</vt:lpstr>
      <vt:lpstr>Design_30MGD</vt:lpstr>
      <vt:lpstr>Design_Safety</vt:lpstr>
      <vt:lpstr>Design_Seismic</vt:lpstr>
      <vt:lpstr>Duration_20MGD</vt:lpstr>
      <vt:lpstr>Duration_30MGD</vt:lpstr>
      <vt:lpstr>Duration_Safety</vt:lpstr>
      <vt:lpstr>Duration_Seismic</vt:lpstr>
      <vt:lpstr>ENR</vt:lpstr>
      <vt:lpstr>ENR_Revised</vt:lpstr>
      <vt:lpstr>Escalation_Rate</vt:lpstr>
      <vt:lpstr>estimate_date</vt:lpstr>
      <vt:lpstr>F_20MGD</vt:lpstr>
      <vt:lpstr>F_30MGD</vt:lpstr>
      <vt:lpstr>F_Safety</vt:lpstr>
      <vt:lpstr>F_Seismic</vt:lpstr>
      <vt:lpstr>Full_Admin</vt:lpstr>
      <vt:lpstr>Full_Constr</vt:lpstr>
      <vt:lpstr>Full_Design</vt:lpstr>
      <vt:lpstr>Full_FutAd</vt:lpstr>
      <vt:lpstr>Full_FutDes</vt:lpstr>
      <vt:lpstr>Full_Future</vt:lpstr>
      <vt:lpstr>Full_Project</vt:lpstr>
      <vt:lpstr>Full_Total</vt:lpstr>
      <vt:lpstr>Full_Year</vt:lpstr>
      <vt:lpstr>'CIP Full'!Print_Area</vt:lpstr>
      <vt:lpstr>'CIP Summary'!Print_Area</vt:lpstr>
      <vt:lpstr>'Financial Summary (2017)'!Print_Area</vt:lpstr>
      <vt:lpstr>'Financial Summary (Future)'!Print_Area</vt:lpstr>
      <vt:lpstr>'P1'!Print_Area</vt:lpstr>
      <vt:lpstr>'P2'!Print_Area</vt:lpstr>
      <vt:lpstr>'P3'!Print_Area</vt:lpstr>
      <vt:lpstr>'P4'!Print_Area</vt:lpstr>
      <vt:lpstr>'P5'!Print_Area</vt:lpstr>
      <vt:lpstr>README!Print_Area</vt:lpstr>
      <vt:lpstr>'CIP Full'!Print_Titles</vt:lpstr>
      <vt:lpstr>'Financial Summary (2017)'!Print_Titles</vt:lpstr>
      <vt:lpstr>'Financial Summary (Future)'!Print_Titles</vt:lpstr>
      <vt:lpstr>'P1'!Print_Titles</vt:lpstr>
      <vt:lpstr>'P2'!Print_Titles</vt:lpstr>
      <vt:lpstr>'P3'!Print_Titles</vt:lpstr>
      <vt:lpstr>'P4'!Print_Titles</vt:lpstr>
      <vt:lpstr>'P5'!Print_Titles</vt:lpstr>
      <vt:lpstr>Revised_Estimate_Date</vt:lpstr>
      <vt:lpstr>RR_Construction</vt:lpstr>
      <vt:lpstr>RR_ENR</vt:lpstr>
      <vt:lpstr>RR_Float</vt:lpstr>
      <vt:lpstr>RRCostProjection</vt:lpstr>
    </vt:vector>
  </TitlesOfParts>
  <Company>Carollo Engineers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KBelluomini</dc:creator>
  <cp:lastModifiedBy>Meghann Chell</cp:lastModifiedBy>
  <cp:lastPrinted>2018-03-30T14:28:49Z</cp:lastPrinted>
  <dcterms:created xsi:type="dcterms:W3CDTF">2014-06-30T23:41:28Z</dcterms:created>
  <dcterms:modified xsi:type="dcterms:W3CDTF">2018-04-05T17:01:34Z</dcterms:modified>
</cp:coreProperties>
</file>